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10830" activeTab="1"/>
  </bookViews>
  <sheets>
    <sheet name="ORÇAMENTO" sheetId="1" r:id="rId1"/>
    <sheet name="CRONOGRAMA" sheetId="2" r:id="rId2"/>
  </sheets>
  <definedNames>
    <definedName name="_xlnm.Print_Area" localSheetId="0">'ORÇAMENTO'!$A$1:$J$132</definedName>
  </definedNames>
  <calcPr fullCalcOnLoad="1"/>
</workbook>
</file>

<file path=xl/sharedStrings.xml><?xml version="1.0" encoding="utf-8"?>
<sst xmlns="http://schemas.openxmlformats.org/spreadsheetml/2006/main" count="416" uniqueCount="265">
  <si>
    <t>Tipo de Intervenção: CONSTRUÇÃO NOVA</t>
  </si>
  <si>
    <t>01</t>
  </si>
  <si>
    <t>SERVIÇOS PRELIMINARES</t>
  </si>
  <si>
    <t>01.01</t>
  </si>
  <si>
    <t>M2</t>
  </si>
  <si>
    <t>01.03</t>
  </si>
  <si>
    <t>PLACA DA OBRA</t>
  </si>
  <si>
    <t>01.04</t>
  </si>
  <si>
    <t>DEPÓSITO P/ CIMENTO A=5,00 M2</t>
  </si>
  <si>
    <t>UN</t>
  </si>
  <si>
    <t>TOTAL DA ETAPA</t>
  </si>
  <si>
    <t>02</t>
  </si>
  <si>
    <t>02.01</t>
  </si>
  <si>
    <t>M3</t>
  </si>
  <si>
    <t>02.02</t>
  </si>
  <si>
    <t>02.03</t>
  </si>
  <si>
    <t>03</t>
  </si>
  <si>
    <t>INFRA E SUPRA ESTRUTURA</t>
  </si>
  <si>
    <t>03.01</t>
  </si>
  <si>
    <t>M</t>
  </si>
  <si>
    <t>03.02</t>
  </si>
  <si>
    <t>03.03</t>
  </si>
  <si>
    <t>AÇO CA-50 DE 1/4" A 3/8"</t>
  </si>
  <si>
    <t>KG</t>
  </si>
  <si>
    <t>03.04</t>
  </si>
  <si>
    <t>AÇO CA-60</t>
  </si>
  <si>
    <t>03.05</t>
  </si>
  <si>
    <t>03.06</t>
  </si>
  <si>
    <t>LANÇAMENTO/ APLICAÇÃO CONCRETO</t>
  </si>
  <si>
    <t>03.07</t>
  </si>
  <si>
    <t>EMBASAMENTO C/ TIJOLOS COMUNS</t>
  </si>
  <si>
    <t>LAJE PRÉ-MOLDADA</t>
  </si>
  <si>
    <t>04</t>
  </si>
  <si>
    <t>INSTALAÇÕES ELÉTRICAS</t>
  </si>
  <si>
    <t>04.01</t>
  </si>
  <si>
    <t>CX.DE PASSAGEM 40X40 S/F C/TAMPA CONCR</t>
  </si>
  <si>
    <t>04.02</t>
  </si>
  <si>
    <t>04.03</t>
  </si>
  <si>
    <t>ARANDELA USO EXTERNO 100 W 45º</t>
  </si>
  <si>
    <t>BARRA DE COBRE 1.1/4" X 3/16" (1,3040 KG/M)</t>
  </si>
  <si>
    <t>CABO DE COBRE NU No. 16 MM2 (6,94 M/KG)</t>
  </si>
  <si>
    <t>CABO TELEFONICO CCE-50 3 PARES</t>
  </si>
  <si>
    <t>CAIXA DISTRIBUICAO TELEFONICA 60 X 60 X 12</t>
  </si>
  <si>
    <t>DISJUNTOR MONOPOLAR DE 10 A 30-A</t>
  </si>
  <si>
    <t>ELETRODUTO PVC FLEXIVEL DIAM.3/4"</t>
  </si>
  <si>
    <t>EXTINTOR PO QUIMICO SECO (6 KG)</t>
  </si>
  <si>
    <t>FIO ISOLADO 750 V, PIRASTIC No. 2,5 MM2</t>
  </si>
  <si>
    <t>FIO ISOLADO 750 V, PIRASTIC No. 4 MM2</t>
  </si>
  <si>
    <t>FITA ISOLANTE, ROLO DE 10,00 M</t>
  </si>
  <si>
    <t>INTERRUPTOR SIMPLES (1 SECAO)</t>
  </si>
  <si>
    <t>INTERRUPTOR SIMPLES (2 SECOES)</t>
  </si>
  <si>
    <t>REATOR  ELETROMAGNÉTICO PR-AFP 2 X 40 W</t>
  </si>
  <si>
    <t>TOMADA TELEFONICA (4 PINOS)</t>
  </si>
  <si>
    <t>TOMADA UNIVERSAL REDONDA</t>
  </si>
  <si>
    <t>05</t>
  </si>
  <si>
    <t>05.01</t>
  </si>
  <si>
    <t>05.02</t>
  </si>
  <si>
    <t>06</t>
  </si>
  <si>
    <t>06.01</t>
  </si>
  <si>
    <t>07</t>
  </si>
  <si>
    <t>07.01</t>
  </si>
  <si>
    <t>ALVENARIA TIJOLOS FURADOS 1/2 VEZ</t>
  </si>
  <si>
    <t>08</t>
  </si>
  <si>
    <t>IMPERMEABILIZAÇÃO</t>
  </si>
  <si>
    <t>08.01</t>
  </si>
  <si>
    <t>IMPERMEABILIZAÇÃO VIGAS BALDRAMES</t>
  </si>
  <si>
    <t>ESTRUTURA DE MADEIRA/COBERTURA</t>
  </si>
  <si>
    <t>10</t>
  </si>
  <si>
    <t>ESQUADRIAS DE MADEIRA</t>
  </si>
  <si>
    <t>10.01</t>
  </si>
  <si>
    <t>11</t>
  </si>
  <si>
    <t>ESQUADRIAS METÁLICAS</t>
  </si>
  <si>
    <t>11.01</t>
  </si>
  <si>
    <t>11.02</t>
  </si>
  <si>
    <t>12</t>
  </si>
  <si>
    <t>VIDROS</t>
  </si>
  <si>
    <t>12.01</t>
  </si>
  <si>
    <t>13</t>
  </si>
  <si>
    <t>REVESTIMENTO DE PAREDES</t>
  </si>
  <si>
    <t>13.01</t>
  </si>
  <si>
    <t>CHAPISCO COMUM</t>
  </si>
  <si>
    <t>13.02</t>
  </si>
  <si>
    <t>REBOCO</t>
  </si>
  <si>
    <t>14</t>
  </si>
  <si>
    <t>REVESTIMENTO DE TETOS E BEIRAIS</t>
  </si>
  <si>
    <t>15</t>
  </si>
  <si>
    <t>REVESTIMENTO DE PISO</t>
  </si>
  <si>
    <t>15.01</t>
  </si>
  <si>
    <t>PISO GRANITINA</t>
  </si>
  <si>
    <t>RODAPÉ GRANITINA</t>
  </si>
  <si>
    <t>16</t>
  </si>
  <si>
    <t>FECH.(ALAV.) LAFONTE 609 - RI /8766- I18 IMAB</t>
  </si>
  <si>
    <t>DOBRADIÇA 3"X1/2" CROMADA</t>
  </si>
  <si>
    <t>PINTURA</t>
  </si>
  <si>
    <t>EMASSAMENTO ACRÍLICO 2 DEMÃOS</t>
  </si>
  <si>
    <t>EMASSAMENTO/ÓLEO/ESQ. MAD.</t>
  </si>
  <si>
    <t>PINT. ESMALTE SINT. SOBRE MADEIRA</t>
  </si>
  <si>
    <t>PINT. ESM. 2 DEMÃOS ESQ. DE FERRO C/ ANT. COR.</t>
  </si>
  <si>
    <t>DIVERSOS</t>
  </si>
  <si>
    <t>Fl. 01/01</t>
  </si>
  <si>
    <t>Analisado por:</t>
  </si>
  <si>
    <t>Em: ______/______/_______</t>
  </si>
  <si>
    <t>CRONOGRAMA FÍSICO - FINANCEIRO</t>
  </si>
  <si>
    <t>ITEM</t>
  </si>
  <si>
    <t>SERVIÇOS</t>
  </si>
  <si>
    <t>MÊS 01</t>
  </si>
  <si>
    <t>MÊS 02</t>
  </si>
  <si>
    <t>MÊS 03</t>
  </si>
  <si>
    <t>MÊS 04</t>
  </si>
  <si>
    <t>MÊS 05</t>
  </si>
  <si>
    <t>VALOR DOS</t>
  </si>
  <si>
    <t>PESO</t>
  </si>
  <si>
    <t>SIMPL</t>
  </si>
  <si>
    <t>ACUM</t>
  </si>
  <si>
    <t>SERV. ( R$ )</t>
  </si>
  <si>
    <t>%</t>
  </si>
  <si>
    <t>ALVENARIA E DIVISÓRIAS</t>
  </si>
  <si>
    <t>09</t>
  </si>
  <si>
    <t>ESTRUT. MADEIRA / COBERTURA</t>
  </si>
  <si>
    <t>FERRAGENS</t>
  </si>
  <si>
    <t>BDI (%): 0,00%</t>
  </si>
  <si>
    <t>AÇO CA-50 DE 1/2" A 1"</t>
  </si>
  <si>
    <t>QUADRO DE DISTRIBUICAO CB-24E - 150A</t>
  </si>
  <si>
    <t>CAIXA METALICA QUADRADA 4"X4"X2"</t>
  </si>
  <si>
    <t>DISJUNTOR TRIPOLAR DE 60 A 100-A</t>
  </si>
  <si>
    <t>PINTURA LATEX ACRILICA 2 DEMAOS C/SELADOR</t>
  </si>
  <si>
    <t>FORMA DE TÁBUA C/ REAPROV. 2 VEZES</t>
  </si>
  <si>
    <t>PREPARO CONC. FCK-20 C/ BETON.</t>
  </si>
  <si>
    <t>CABO AGRUPADO SINTENAX 1000 V. 4 X 10 MM2</t>
  </si>
  <si>
    <t>TOMADA DE 2 POLOS MAIS TERRA</t>
  </si>
  <si>
    <t>PORTAS METÁLICAS</t>
  </si>
  <si>
    <t>CHAPISCO EM FORRO</t>
  </si>
  <si>
    <t>REBOCO PAULISTA EM FORRO</t>
  </si>
  <si>
    <t>PINTURA LATEX ACRILICA 2 DEMÃOS</t>
  </si>
  <si>
    <t>ORÇAMENTO DISCRIMINATIVO</t>
  </si>
  <si>
    <t>BLOCO DIREITO</t>
  </si>
  <si>
    <t>BARRACÃO DE OBRA-PD."C" C/INST.ELET./HID.SANIT-50,82M2</t>
  </si>
  <si>
    <t>ESTACA A TRADO DIAM.30 CM S/FERRO</t>
  </si>
  <si>
    <t>ML</t>
  </si>
  <si>
    <t>ESCAVACAO MANUAL DE VALAS (SAPATAS/BLOCOS)</t>
  </si>
  <si>
    <t>03.09</t>
  </si>
  <si>
    <t>CUNHAMENTO/ALVENARIAS C/TIJ.COMUM</t>
  </si>
  <si>
    <t>ESTRUT.-TELHA DE FIBROCIMENTO (C/TESOURA) C/FERRAGENS</t>
  </si>
  <si>
    <t>COBERTURA C/TELHA ONDULADA</t>
  </si>
  <si>
    <t>CUMEEIRA P/TELHA ONDULADA</t>
  </si>
  <si>
    <t>CALHA DE CHAPA GALVANIZADA</t>
  </si>
  <si>
    <t>RUFO DE CHAPA GALVANIZADA</t>
  </si>
  <si>
    <t>PORTA DE CEREJEIRA C/PORTAL E ALISAR SEM FERRAGENS</t>
  </si>
  <si>
    <t>PISO CONCRETO DESEMPEN. ESPES. = 5 CM 1:2,5:3,5</t>
  </si>
  <si>
    <t>PASSEIO PROTECAO EM CONC.DESEMPEN.5 CM 1:2,5:3,5</t>
  </si>
  <si>
    <t>12.02</t>
  </si>
  <si>
    <t>REGULARIZAÇAO DE PISO/LAJE (1:3) e=2 CM</t>
  </si>
  <si>
    <t xml:space="preserve">PISO CERÂMICA DE ALTA RESISTÊNCIA </t>
  </si>
  <si>
    <t>EMASSAMENTO COM MASSA PVA DUAS DEMAOS</t>
  </si>
  <si>
    <t>PINTURA PVA LATEX 3 DEMAOS SEM SELADOR</t>
  </si>
  <si>
    <t>TUBO SOLDAVEL P/ESGOTO DIAM. 100 MM</t>
  </si>
  <si>
    <t>TUBO LEVE PVC RIGIDO DIAMETRO 150 MM</t>
  </si>
  <si>
    <t>TUBO LEVE PVC RIGIDO DIAMETRO 200 MM</t>
  </si>
  <si>
    <t>FIO ISOLADO 750 V, PIRASTIC No. 6 MM2</t>
  </si>
  <si>
    <t>LAMPADA FLUORESCENTE DE 40 W.</t>
  </si>
  <si>
    <t>MÊS 06</t>
  </si>
  <si>
    <t>INSTALAÇÕES PLUVIAIS</t>
  </si>
  <si>
    <t>BDI (%): 20,00%</t>
  </si>
  <si>
    <t>Data de elaboração do cronograma: 27/05/2010</t>
  </si>
  <si>
    <t>Área (m2): 749,42 M²</t>
  </si>
  <si>
    <t xml:space="preserve">Uso exclusivo </t>
  </si>
  <si>
    <t>CORRIMÃO METÁLICO EM TUBO INDUSTRIAL 2" # 2,28MM</t>
  </si>
  <si>
    <t>COBERTURA C/TELHA EM POLICABORNATO</t>
  </si>
  <si>
    <t>VIDRO TEMPERADO 10 MM</t>
  </si>
  <si>
    <t>03.11</t>
  </si>
  <si>
    <t>03.12</t>
  </si>
  <si>
    <t>Endereço: RUA 22 ESQUINA C/ AVENIDA 21, SETOR AEROPORTO -  MINEIROS - GO</t>
  </si>
  <si>
    <t>Endereço: RUA 22 ESQUINA C/ AVENIDA 21 SETOR AEROPORTO-  MINEIROS - GO</t>
  </si>
  <si>
    <t>OBRA: CONSTRUÇÃO BLOCO DIREITO-FIMES (FUNDAÇÃO INTEGRADA  DE ENSINO SUPERIOR DE MINEIROS) 1ª ETAPA</t>
  </si>
  <si>
    <t>Elaborado por: Eng. Civil PAULO BORGES DA CUNHA NETO    CREA  NR  108047/D-GO</t>
  </si>
  <si>
    <t>Fl. 01/03</t>
  </si>
  <si>
    <t>Fl. 02/03</t>
  </si>
  <si>
    <t>ALVENARIA</t>
  </si>
  <si>
    <t>QTDE</t>
  </si>
  <si>
    <t>R$ TOTAL</t>
  </si>
  <si>
    <t>Fl. 03/03</t>
  </si>
  <si>
    <t>02.04</t>
  </si>
  <si>
    <t>02.05</t>
  </si>
  <si>
    <t>02.06</t>
  </si>
  <si>
    <t>02.07</t>
  </si>
  <si>
    <t>02.08</t>
  </si>
  <si>
    <t>02.09</t>
  </si>
  <si>
    <t>02.10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</si>
  <si>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</si>
  <si>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</si>
  <si>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</si>
  <si>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</si>
  <si>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</si>
  <si>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</si>
  <si>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</si>
  <si>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</si>
  <si>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</si>
  <si>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03.24</t>
  </si>
  <si>
    <t>07.02</t>
  </si>
  <si>
    <t>07.03</t>
  </si>
  <si>
    <t>07.04</t>
  </si>
  <si>
    <t>07.05</t>
  </si>
  <si>
    <t>07.06</t>
  </si>
  <si>
    <t>09.01</t>
  </si>
  <si>
    <t>09.02</t>
  </si>
  <si>
    <t>13.03</t>
  </si>
  <si>
    <t>13.04</t>
  </si>
  <si>
    <t>13.05</t>
  </si>
  <si>
    <t>13.06</t>
  </si>
  <si>
    <t>13.07</t>
  </si>
  <si>
    <t>13.08</t>
  </si>
  <si>
    <t>-</t>
  </si>
  <si>
    <t>74007/002</t>
  </si>
  <si>
    <t>74254/001</t>
  </si>
  <si>
    <t>74254/002</t>
  </si>
  <si>
    <t>73942/001</t>
  </si>
  <si>
    <t>73972/002</t>
  </si>
  <si>
    <t>47157/001</t>
  </si>
  <si>
    <t>74202/001</t>
  </si>
  <si>
    <t>73860/011</t>
  </si>
  <si>
    <t>76449/003</t>
  </si>
  <si>
    <t>74043/004</t>
  </si>
  <si>
    <t>74130/001</t>
  </si>
  <si>
    <t>74130/005</t>
  </si>
  <si>
    <t>74117/001</t>
  </si>
  <si>
    <t>74131/004</t>
  </si>
  <si>
    <t>73777/004</t>
  </si>
  <si>
    <t>73777/005</t>
  </si>
  <si>
    <t>73935/001</t>
  </si>
  <si>
    <t>73988/002</t>
  </si>
  <si>
    <t>73910/005</t>
  </si>
  <si>
    <t>73928/001</t>
  </si>
  <si>
    <t>73922/004</t>
  </si>
  <si>
    <t>73818/001</t>
  </si>
  <si>
    <t>73290/001</t>
  </si>
  <si>
    <t>74134/002</t>
  </si>
  <si>
    <t>73955/002</t>
  </si>
  <si>
    <t>73954/002</t>
  </si>
  <si>
    <t>73954/001</t>
  </si>
  <si>
    <t>73924/001</t>
  </si>
  <si>
    <t>PLACA DE INAUGURAÇÃO EM DURALUMÍNIO 40x60 CM</t>
  </si>
  <si>
    <t xml:space="preserve">Área (m2): </t>
  </si>
  <si>
    <t>OBRA: CONSTRUÇÃO BLOCO DIREITO-FIMES (FUNDAÇÃO INTEGRADA MUNICIPAL DE ENSINO SUPERIOR DE MINEIROS) 1ª ETAPA</t>
  </si>
  <si>
    <t>REFERÊNCIA DO ORÇAMENTO: RELATÓRIO SINTÉTICO DAS COMPOSIÇÕES - SINAPI - JUNHO DE 2009</t>
  </si>
  <si>
    <t>tab. SINAPI (encargos / mao-de-obra)</t>
  </si>
  <si>
    <t>tab. SINAPI (insumos)</t>
  </si>
  <si>
    <t>encargos/ mão-de-obra</t>
  </si>
  <si>
    <t>Insumos</t>
  </si>
  <si>
    <t>03.08</t>
  </si>
  <si>
    <t>03.10</t>
  </si>
  <si>
    <t>03.22</t>
  </si>
  <si>
    <t>03.23</t>
  </si>
  <si>
    <t>15.02</t>
  </si>
  <si>
    <t>VALOR TOTAL GERAL</t>
  </si>
  <si>
    <t>15.03</t>
  </si>
  <si>
    <t>15.04</t>
  </si>
  <si>
    <t>15.05</t>
  </si>
  <si>
    <t>15.06</t>
  </si>
  <si>
    <t>15.07</t>
  </si>
  <si>
    <t>15.08</t>
  </si>
  <si>
    <t>16.01</t>
  </si>
  <si>
    <t>16.02</t>
  </si>
  <si>
    <t xml:space="preserve">VALOR FINAL DA PARCELA </t>
  </si>
  <si>
    <t>VALORES ACUMULADOS</t>
  </si>
  <si>
    <t xml:space="preserve">LIMPEZA FINAL DA OBRA PAV. TÉRREO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</si>
</sst>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&quot;R$&quot;_-;\-* #,##0.00\ &quot;R$&quot;_-;_-* &quot;-&quot;??\ &quot;R$&quot;_-;_-@_-"/>
    <numFmt numFmtId="173" formatCode="_(* #,##0.00_);_(* \(#,##0.00\);_(* \-??_);_(@_)"/>
    <numFmt numFmtId="174" formatCode="&quot;R$ &quot;#,##0.00"/>
    <numFmt numFmtId="175" formatCode="0.000"/>
    <numFmt numFmtId="176" formatCode="0.000%"/>
    <numFmt numFmtId="177" formatCode="#,##0.000"/>
    <numFmt numFmtId="178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3" fontId="0" fillId="0" borderId="0" applyFont="0" applyFill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21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3" fillId="34" borderId="13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28" fillId="0" borderId="21" xfId="0" applyNumberFormat="1" applyFont="1" applyBorder="1" applyAlignment="1">
      <alignment/>
    </xf>
    <xf numFmtId="0" fontId="28" fillId="0" borderId="13" xfId="0" applyFont="1" applyBorder="1" applyAlignment="1">
      <alignment/>
    </xf>
    <xf numFmtId="173" fontId="28" fillId="0" borderId="13" xfId="51" applyFont="1" applyFill="1" applyBorder="1" applyAlignment="1" applyProtection="1">
      <alignment horizontal="center"/>
      <protection/>
    </xf>
    <xf numFmtId="0" fontId="28" fillId="0" borderId="13" xfId="0" applyFont="1" applyBorder="1" applyAlignment="1">
      <alignment horizontal="center"/>
    </xf>
    <xf numFmtId="173" fontId="28" fillId="0" borderId="21" xfId="51" applyFont="1" applyFill="1" applyBorder="1" applyAlignment="1" applyProtection="1">
      <alignment horizontal="center"/>
      <protection/>
    </xf>
    <xf numFmtId="10" fontId="28" fillId="0" borderId="21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9" fontId="28" fillId="0" borderId="18" xfId="51" applyNumberFormat="1" applyFont="1" applyFill="1" applyBorder="1" applyAlignment="1" applyProtection="1">
      <alignment horizontal="center"/>
      <protection/>
    </xf>
    <xf numFmtId="9" fontId="28" fillId="0" borderId="18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10" fontId="28" fillId="0" borderId="18" xfId="51" applyNumberFormat="1" applyFont="1" applyFill="1" applyBorder="1" applyAlignment="1" applyProtection="1">
      <alignment horizontal="center"/>
      <protection/>
    </xf>
    <xf numFmtId="9" fontId="28" fillId="0" borderId="23" xfId="51" applyNumberFormat="1" applyFont="1" applyFill="1" applyBorder="1" applyAlignment="1" applyProtection="1">
      <alignment horizontal="center"/>
      <protection/>
    </xf>
    <xf numFmtId="9" fontId="28" fillId="0" borderId="34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/>
    </xf>
    <xf numFmtId="10" fontId="28" fillId="0" borderId="35" xfId="51" applyNumberFormat="1" applyFont="1" applyFill="1" applyBorder="1" applyAlignment="1" applyProtection="1">
      <alignment horizontal="center"/>
      <protection/>
    </xf>
    <xf numFmtId="0" fontId="29" fillId="0" borderId="16" xfId="0" applyFont="1" applyBorder="1" applyAlignment="1">
      <alignment/>
    </xf>
    <xf numFmtId="174" fontId="29" fillId="0" borderId="13" xfId="51" applyNumberFormat="1" applyFont="1" applyFill="1" applyBorder="1" applyAlignment="1" applyProtection="1">
      <alignment horizontal="center"/>
      <protection/>
    </xf>
    <xf numFmtId="2" fontId="29" fillId="0" borderId="18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173" fontId="28" fillId="0" borderId="13" xfId="51" applyFont="1" applyFill="1" applyBorder="1" applyAlignment="1" applyProtection="1">
      <alignment horizontal="center"/>
      <protection/>
    </xf>
    <xf numFmtId="10" fontId="28" fillId="0" borderId="19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workbookViewId="0" topLeftCell="A112">
      <selection activeCell="D18" sqref="D18"/>
    </sheetView>
  </sheetViews>
  <sheetFormatPr defaultColWidth="9.00390625" defaultRowHeight="12.75"/>
  <cols>
    <col min="1" max="1" width="11.8515625" style="12" customWidth="1"/>
    <col min="2" max="2" width="9.7109375" style="12" customWidth="1"/>
    <col min="3" max="3" width="6.28125" style="44" customWidth="1"/>
    <col min="4" max="4" width="56.57421875" style="42" customWidth="1"/>
    <col min="5" max="5" width="4.7109375" style="42" customWidth="1"/>
    <col min="6" max="6" width="7.8515625" style="43" customWidth="1"/>
    <col min="7" max="7" width="7.7109375" style="43" customWidth="1"/>
    <col min="8" max="8" width="5.7109375" style="43" customWidth="1"/>
    <col min="9" max="9" width="6.57421875" style="43" customWidth="1"/>
    <col min="10" max="10" width="9.8515625" style="38" customWidth="1"/>
    <col min="11" max="16384" width="9.00390625" style="13" customWidth="1"/>
  </cols>
  <sheetData>
    <row r="1" spans="1:10" ht="23.25">
      <c r="A1" s="46"/>
      <c r="C1" s="68" t="s">
        <v>134</v>
      </c>
      <c r="D1" s="68"/>
      <c r="E1" s="68"/>
      <c r="F1" s="68"/>
      <c r="G1" s="68"/>
      <c r="H1" s="68"/>
      <c r="I1" s="69" t="s">
        <v>175</v>
      </c>
      <c r="J1" s="69"/>
    </row>
    <row r="2" spans="1:10" ht="12">
      <c r="A2" s="46"/>
      <c r="C2" s="70" t="s">
        <v>242</v>
      </c>
      <c r="D2" s="71"/>
      <c r="E2" s="71"/>
      <c r="F2" s="71"/>
      <c r="G2" s="71"/>
      <c r="H2" s="71"/>
      <c r="I2" s="71"/>
      <c r="J2" s="72"/>
    </row>
    <row r="3" spans="1:10" ht="12">
      <c r="A3" s="46"/>
      <c r="C3" s="70" t="s">
        <v>171</v>
      </c>
      <c r="D3" s="71"/>
      <c r="E3" s="71"/>
      <c r="F3" s="71"/>
      <c r="G3" s="71"/>
      <c r="H3" s="71"/>
      <c r="I3" s="71"/>
      <c r="J3" s="72"/>
    </row>
    <row r="4" spans="1:10" ht="12">
      <c r="A4" s="46"/>
      <c r="C4" s="60" t="s">
        <v>0</v>
      </c>
      <c r="D4" s="60"/>
      <c r="E4" s="74" t="s">
        <v>241</v>
      </c>
      <c r="F4" s="74"/>
      <c r="G4" s="88">
        <v>749.42</v>
      </c>
      <c r="H4" s="89"/>
      <c r="I4" s="62" t="s">
        <v>162</v>
      </c>
      <c r="J4" s="62"/>
    </row>
    <row r="5" spans="1:10" ht="23.25">
      <c r="A5" s="46"/>
      <c r="B5" s="46"/>
      <c r="C5" s="78" t="s">
        <v>135</v>
      </c>
      <c r="D5" s="79"/>
      <c r="E5" s="79"/>
      <c r="F5" s="79"/>
      <c r="G5" s="79"/>
      <c r="H5" s="79"/>
      <c r="I5" s="79"/>
      <c r="J5" s="79"/>
    </row>
    <row r="6" spans="3:10" ht="12">
      <c r="C6" s="66" t="s">
        <v>174</v>
      </c>
      <c r="D6" s="66"/>
      <c r="E6" s="66"/>
      <c r="F6" s="66"/>
      <c r="G6" s="66"/>
      <c r="H6" s="66"/>
      <c r="I6" s="66"/>
      <c r="J6" s="66"/>
    </row>
    <row r="7" spans="1:10" ht="12">
      <c r="A7" s="49" t="s">
        <v>244</v>
      </c>
      <c r="B7" s="49" t="s">
        <v>245</v>
      </c>
      <c r="C7" s="77" t="s">
        <v>243</v>
      </c>
      <c r="D7" s="77"/>
      <c r="E7" s="77"/>
      <c r="F7" s="77"/>
      <c r="G7" s="77"/>
      <c r="H7" s="77"/>
      <c r="I7" s="77"/>
      <c r="J7" s="77"/>
    </row>
    <row r="8" spans="1:10" ht="12">
      <c r="A8" s="49"/>
      <c r="B8" s="49"/>
      <c r="C8" s="52"/>
      <c r="D8" s="53"/>
      <c r="E8" s="80" t="s">
        <v>9</v>
      </c>
      <c r="F8" s="56" t="s">
        <v>178</v>
      </c>
      <c r="G8" s="56" t="s">
        <v>247</v>
      </c>
      <c r="H8" s="84" t="s">
        <v>246</v>
      </c>
      <c r="I8" s="85"/>
      <c r="J8" s="82" t="s">
        <v>179</v>
      </c>
    </row>
    <row r="9" spans="1:10" ht="12">
      <c r="A9" s="49"/>
      <c r="B9" s="49"/>
      <c r="C9" s="54"/>
      <c r="D9" s="55"/>
      <c r="E9" s="81"/>
      <c r="F9" s="57"/>
      <c r="G9" s="57"/>
      <c r="H9" s="86"/>
      <c r="I9" s="87"/>
      <c r="J9" s="83"/>
    </row>
    <row r="10" spans="1:10" ht="12">
      <c r="A10" s="49"/>
      <c r="B10" s="49"/>
      <c r="C10" s="14" t="s">
        <v>1</v>
      </c>
      <c r="D10" s="15" t="s">
        <v>2</v>
      </c>
      <c r="E10" s="16"/>
      <c r="F10" s="17"/>
      <c r="G10" s="17"/>
      <c r="H10" s="64"/>
      <c r="I10" s="65"/>
      <c r="J10" s="18"/>
    </row>
    <row r="11" spans="1:10" ht="12">
      <c r="A11" s="19">
        <v>74242</v>
      </c>
      <c r="B11" s="19"/>
      <c r="C11" s="14" t="s">
        <v>3</v>
      </c>
      <c r="D11" s="20" t="s">
        <v>136</v>
      </c>
      <c r="E11" s="21" t="s">
        <v>4</v>
      </c>
      <c r="F11" s="17">
        <v>50.82</v>
      </c>
      <c r="G11" s="17"/>
      <c r="H11" s="58">
        <v>129.14</v>
      </c>
      <c r="I11" s="59"/>
      <c r="J11" s="17">
        <f>G11*F11+H11*F11</f>
        <v>6562.894799999999</v>
      </c>
    </row>
    <row r="12" spans="1:10" ht="12">
      <c r="A12" s="19">
        <v>74209</v>
      </c>
      <c r="B12" s="19"/>
      <c r="C12" s="14" t="s">
        <v>5</v>
      </c>
      <c r="D12" s="16" t="s">
        <v>6</v>
      </c>
      <c r="E12" s="21" t="s">
        <v>4</v>
      </c>
      <c r="F12" s="17">
        <v>6</v>
      </c>
      <c r="G12" s="17"/>
      <c r="H12" s="58">
        <v>329.28</v>
      </c>
      <c r="I12" s="59"/>
      <c r="J12" s="17">
        <f>G12*F12+H12*F12</f>
        <v>1975.6799999999998</v>
      </c>
    </row>
    <row r="13" spans="1:10" ht="12">
      <c r="A13" s="19">
        <v>74210</v>
      </c>
      <c r="B13" s="19"/>
      <c r="C13" s="14" t="s">
        <v>7</v>
      </c>
      <c r="D13" s="16" t="s">
        <v>8</v>
      </c>
      <c r="E13" s="21" t="s">
        <v>9</v>
      </c>
      <c r="F13" s="17">
        <v>1</v>
      </c>
      <c r="G13" s="17"/>
      <c r="H13" s="58">
        <v>248.8</v>
      </c>
      <c r="I13" s="59"/>
      <c r="J13" s="17">
        <f>G13*F13+H13*F13</f>
        <v>248.8</v>
      </c>
    </row>
    <row r="14" spans="1:10" ht="12">
      <c r="A14" s="19"/>
      <c r="B14" s="19"/>
      <c r="C14" s="50" t="s">
        <v>10</v>
      </c>
      <c r="D14" s="51"/>
      <c r="E14" s="51"/>
      <c r="F14" s="51"/>
      <c r="G14" s="51"/>
      <c r="H14" s="51"/>
      <c r="I14" s="51"/>
      <c r="J14" s="22">
        <f>SUM(J11:J13)</f>
        <v>8787.374799999998</v>
      </c>
    </row>
    <row r="15" spans="1:10" ht="12">
      <c r="A15" s="19"/>
      <c r="B15" s="19"/>
      <c r="C15" s="14" t="s">
        <v>11</v>
      </c>
      <c r="D15" s="15" t="s">
        <v>17</v>
      </c>
      <c r="E15" s="23"/>
      <c r="F15" s="24"/>
      <c r="G15" s="24"/>
      <c r="H15" s="63"/>
      <c r="I15" s="63"/>
      <c r="J15" s="24"/>
    </row>
    <row r="16" spans="1:10" ht="12">
      <c r="A16" s="19">
        <v>72819</v>
      </c>
      <c r="B16" s="19"/>
      <c r="C16" s="14" t="s">
        <v>12</v>
      </c>
      <c r="D16" s="16" t="s">
        <v>137</v>
      </c>
      <c r="E16" s="21" t="s">
        <v>138</v>
      </c>
      <c r="F16" s="17">
        <v>378</v>
      </c>
      <c r="G16" s="17"/>
      <c r="H16" s="58">
        <v>70.07</v>
      </c>
      <c r="I16" s="59"/>
      <c r="J16" s="17">
        <f aca="true" t="shared" si="0" ref="J16:J25">G16*F16+H16*F16</f>
        <v>26486.46</v>
      </c>
    </row>
    <row r="17" spans="1:10" ht="12">
      <c r="A17" s="19">
        <v>6430</v>
      </c>
      <c r="B17" s="19"/>
      <c r="C17" s="14" t="s">
        <v>14</v>
      </c>
      <c r="D17" s="16" t="s">
        <v>139</v>
      </c>
      <c r="E17" s="21" t="s">
        <v>13</v>
      </c>
      <c r="F17" s="17">
        <v>105.75</v>
      </c>
      <c r="G17" s="17"/>
      <c r="H17" s="58">
        <v>20.66</v>
      </c>
      <c r="I17" s="59"/>
      <c r="J17" s="17">
        <f t="shared" si="0"/>
        <v>2184.795</v>
      </c>
    </row>
    <row r="18" spans="1:10" ht="12">
      <c r="A18" s="19" t="s">
        <v>212</v>
      </c>
      <c r="B18" s="19"/>
      <c r="C18" s="14" t="s">
        <v>15</v>
      </c>
      <c r="D18" s="16" t="s">
        <v>126</v>
      </c>
      <c r="E18" s="21" t="s">
        <v>4</v>
      </c>
      <c r="F18" s="17">
        <v>995</v>
      </c>
      <c r="G18" s="17"/>
      <c r="H18" s="58">
        <v>42.26</v>
      </c>
      <c r="I18" s="59"/>
      <c r="J18" s="17">
        <f t="shared" si="0"/>
        <v>42048.7</v>
      </c>
    </row>
    <row r="19" spans="1:10" ht="12">
      <c r="A19" s="19" t="s">
        <v>213</v>
      </c>
      <c r="B19" s="19">
        <v>31</v>
      </c>
      <c r="C19" s="14" t="s">
        <v>181</v>
      </c>
      <c r="D19" s="16" t="s">
        <v>121</v>
      </c>
      <c r="E19" s="21" t="s">
        <v>23</v>
      </c>
      <c r="F19" s="17">
        <f>5500*0.59</f>
        <v>3245</v>
      </c>
      <c r="G19" s="17">
        <v>3.13</v>
      </c>
      <c r="H19" s="58">
        <v>5.83</v>
      </c>
      <c r="I19" s="59"/>
      <c r="J19" s="17">
        <f t="shared" si="0"/>
        <v>29075.199999999997</v>
      </c>
    </row>
    <row r="20" spans="1:10" ht="12">
      <c r="A20" s="19" t="s">
        <v>214</v>
      </c>
      <c r="B20" s="19">
        <v>34</v>
      </c>
      <c r="C20" s="14" t="s">
        <v>182</v>
      </c>
      <c r="D20" s="16" t="s">
        <v>22</v>
      </c>
      <c r="E20" s="21" t="s">
        <v>23</v>
      </c>
      <c r="F20" s="17">
        <v>1660</v>
      </c>
      <c r="G20" s="17">
        <v>3.23</v>
      </c>
      <c r="H20" s="58">
        <v>6.61</v>
      </c>
      <c r="I20" s="59"/>
      <c r="J20" s="17">
        <f t="shared" si="0"/>
        <v>16334.400000000001</v>
      </c>
    </row>
    <row r="21" spans="1:10" ht="12">
      <c r="A21" s="19" t="s">
        <v>215</v>
      </c>
      <c r="B21" s="19">
        <v>35</v>
      </c>
      <c r="C21" s="14" t="s">
        <v>183</v>
      </c>
      <c r="D21" s="16" t="s">
        <v>25</v>
      </c>
      <c r="E21" s="21" t="s">
        <v>23</v>
      </c>
      <c r="F21" s="17">
        <v>700</v>
      </c>
      <c r="G21" s="17">
        <v>3.91</v>
      </c>
      <c r="H21" s="58">
        <v>6.41</v>
      </c>
      <c r="I21" s="59"/>
      <c r="J21" s="17">
        <f t="shared" si="0"/>
        <v>7224</v>
      </c>
    </row>
    <row r="22" spans="1:10" ht="12">
      <c r="A22" s="19" t="s">
        <v>216</v>
      </c>
      <c r="B22" s="19"/>
      <c r="C22" s="14" t="s">
        <v>184</v>
      </c>
      <c r="D22" s="16" t="s">
        <v>127</v>
      </c>
      <c r="E22" s="21" t="s">
        <v>13</v>
      </c>
      <c r="F22" s="17">
        <f>150*0.4</f>
        <v>60</v>
      </c>
      <c r="G22" s="17"/>
      <c r="H22" s="58">
        <v>490.46</v>
      </c>
      <c r="I22" s="59"/>
      <c r="J22" s="17">
        <f t="shared" si="0"/>
        <v>29427.6</v>
      </c>
    </row>
    <row r="23" spans="1:10" ht="12">
      <c r="A23" s="19" t="s">
        <v>217</v>
      </c>
      <c r="B23" s="19"/>
      <c r="C23" s="14" t="s">
        <v>185</v>
      </c>
      <c r="D23" s="16" t="s">
        <v>28</v>
      </c>
      <c r="E23" s="21" t="s">
        <v>13</v>
      </c>
      <c r="F23" s="17">
        <f>F22</f>
        <v>60</v>
      </c>
      <c r="G23" s="17"/>
      <c r="H23" s="58">
        <v>115.82</v>
      </c>
      <c r="I23" s="59"/>
      <c r="J23" s="17">
        <f t="shared" si="0"/>
        <v>6949.2</v>
      </c>
    </row>
    <row r="24" spans="1:10" ht="12">
      <c r="A24" s="19"/>
      <c r="B24" s="19"/>
      <c r="C24" s="14" t="s">
        <v>186</v>
      </c>
      <c r="D24" s="16" t="s">
        <v>30</v>
      </c>
      <c r="E24" s="21" t="s">
        <v>13</v>
      </c>
      <c r="F24" s="17">
        <v>18</v>
      </c>
      <c r="G24" s="17"/>
      <c r="H24" s="58">
        <v>201.96</v>
      </c>
      <c r="I24" s="59"/>
      <c r="J24" s="17">
        <f t="shared" si="0"/>
        <v>3635.28</v>
      </c>
    </row>
    <row r="25" spans="1:10" ht="12">
      <c r="A25" s="19" t="s">
        <v>218</v>
      </c>
      <c r="B25" s="19">
        <v>3736</v>
      </c>
      <c r="C25" s="14" t="s">
        <v>187</v>
      </c>
      <c r="D25" s="16" t="s">
        <v>31</v>
      </c>
      <c r="E25" s="21" t="s">
        <v>4</v>
      </c>
      <c r="F25" s="17">
        <f>749.42*0.45</f>
        <v>337.239</v>
      </c>
      <c r="G25" s="17">
        <v>25.15</v>
      </c>
      <c r="H25" s="58">
        <v>74.42</v>
      </c>
      <c r="I25" s="59"/>
      <c r="J25" s="17">
        <f t="shared" si="0"/>
        <v>33578.88722999999</v>
      </c>
    </row>
    <row r="26" spans="1:10" ht="12">
      <c r="A26" s="19"/>
      <c r="B26" s="19"/>
      <c r="C26" s="50" t="s">
        <v>10</v>
      </c>
      <c r="D26" s="51"/>
      <c r="E26" s="51"/>
      <c r="F26" s="51"/>
      <c r="G26" s="51"/>
      <c r="H26" s="51"/>
      <c r="I26" s="51"/>
      <c r="J26" s="22">
        <f>SUM(J16:J25)</f>
        <v>196944.52223</v>
      </c>
    </row>
    <row r="27" spans="1:10" ht="12">
      <c r="A27" s="19"/>
      <c r="B27" s="19"/>
      <c r="C27" s="25" t="s">
        <v>16</v>
      </c>
      <c r="D27" s="26" t="s">
        <v>33</v>
      </c>
      <c r="E27" s="23"/>
      <c r="F27" s="24"/>
      <c r="G27" s="24"/>
      <c r="H27" s="63"/>
      <c r="I27" s="63"/>
      <c r="J27" s="24"/>
    </row>
    <row r="28" spans="1:10" ht="12">
      <c r="A28" s="19">
        <v>74248</v>
      </c>
      <c r="B28" s="19"/>
      <c r="C28" s="14" t="s">
        <v>18</v>
      </c>
      <c r="D28" s="16" t="s">
        <v>35</v>
      </c>
      <c r="E28" s="21" t="s">
        <v>9</v>
      </c>
      <c r="F28" s="17">
        <v>3</v>
      </c>
      <c r="G28" s="17"/>
      <c r="H28" s="58">
        <v>65.59</v>
      </c>
      <c r="I28" s="59"/>
      <c r="J28" s="17">
        <f aca="true" t="shared" si="1" ref="J28:J51">G28*F28+H28*F28</f>
        <v>196.77</v>
      </c>
    </row>
    <row r="29" spans="1:10" ht="12">
      <c r="A29" s="19"/>
      <c r="B29" s="19">
        <v>12223</v>
      </c>
      <c r="C29" s="14" t="s">
        <v>20</v>
      </c>
      <c r="D29" s="16" t="s">
        <v>38</v>
      </c>
      <c r="E29" s="21" t="s">
        <v>9</v>
      </c>
      <c r="F29" s="17">
        <v>7</v>
      </c>
      <c r="G29" s="17">
        <v>79.38</v>
      </c>
      <c r="H29" s="58"/>
      <c r="I29" s="59"/>
      <c r="J29" s="17">
        <f t="shared" si="1"/>
        <v>555.66</v>
      </c>
    </row>
    <row r="30" spans="1:10" ht="12">
      <c r="A30" s="19">
        <v>73860</v>
      </c>
      <c r="B30" s="19"/>
      <c r="C30" s="14" t="s">
        <v>21</v>
      </c>
      <c r="D30" s="16" t="s">
        <v>39</v>
      </c>
      <c r="E30" s="21" t="s">
        <v>9</v>
      </c>
      <c r="F30" s="17">
        <v>8</v>
      </c>
      <c r="G30" s="17"/>
      <c r="H30" s="58">
        <v>57.35</v>
      </c>
      <c r="I30" s="59"/>
      <c r="J30" s="17">
        <f t="shared" si="1"/>
        <v>458.8</v>
      </c>
    </row>
    <row r="31" spans="1:10" ht="12">
      <c r="A31" s="19" t="s">
        <v>219</v>
      </c>
      <c r="B31" s="19"/>
      <c r="C31" s="14" t="s">
        <v>24</v>
      </c>
      <c r="D31" s="16" t="s">
        <v>128</v>
      </c>
      <c r="E31" s="21" t="s">
        <v>19</v>
      </c>
      <c r="F31" s="17">
        <v>200</v>
      </c>
      <c r="G31" s="17"/>
      <c r="H31" s="58">
        <v>6.67</v>
      </c>
      <c r="I31" s="59"/>
      <c r="J31" s="17">
        <f t="shared" si="1"/>
        <v>1334</v>
      </c>
    </row>
    <row r="32" spans="1:10" ht="12">
      <c r="A32" s="19">
        <v>72251</v>
      </c>
      <c r="B32" s="19">
        <v>857</v>
      </c>
      <c r="C32" s="14" t="s">
        <v>26</v>
      </c>
      <c r="D32" s="16" t="s">
        <v>40</v>
      </c>
      <c r="E32" s="21" t="s">
        <v>19</v>
      </c>
      <c r="F32" s="17">
        <v>80</v>
      </c>
      <c r="G32" s="17">
        <v>3.83</v>
      </c>
      <c r="H32" s="58">
        <v>8.01</v>
      </c>
      <c r="I32" s="59"/>
      <c r="J32" s="17">
        <f t="shared" si="1"/>
        <v>947.1999999999999</v>
      </c>
    </row>
    <row r="33" spans="1:10" ht="12">
      <c r="A33" s="19">
        <v>73690</v>
      </c>
      <c r="B33" s="19">
        <v>11903</v>
      </c>
      <c r="C33" s="14" t="s">
        <v>27</v>
      </c>
      <c r="D33" s="16" t="s">
        <v>41</v>
      </c>
      <c r="E33" s="21" t="s">
        <v>19</v>
      </c>
      <c r="F33" s="17">
        <v>300</v>
      </c>
      <c r="G33" s="17">
        <v>0.93</v>
      </c>
      <c r="H33" s="58">
        <v>5.32</v>
      </c>
      <c r="I33" s="59"/>
      <c r="J33" s="17">
        <f t="shared" si="1"/>
        <v>1875</v>
      </c>
    </row>
    <row r="34" spans="1:10" ht="12">
      <c r="A34" s="19" t="s">
        <v>220</v>
      </c>
      <c r="B34" s="19">
        <v>11254</v>
      </c>
      <c r="C34" s="14" t="s">
        <v>29</v>
      </c>
      <c r="D34" s="16" t="s">
        <v>42</v>
      </c>
      <c r="E34" s="21" t="s">
        <v>9</v>
      </c>
      <c r="F34" s="17">
        <v>2</v>
      </c>
      <c r="G34" s="17">
        <v>143.33</v>
      </c>
      <c r="H34" s="58">
        <v>188.5</v>
      </c>
      <c r="I34" s="59"/>
      <c r="J34" s="17">
        <f t="shared" si="1"/>
        <v>663.6600000000001</v>
      </c>
    </row>
    <row r="35" spans="1:10" ht="12">
      <c r="A35" s="19" t="s">
        <v>221</v>
      </c>
      <c r="B35" s="19">
        <v>1872</v>
      </c>
      <c r="C35" s="14" t="s">
        <v>248</v>
      </c>
      <c r="D35" s="16" t="s">
        <v>123</v>
      </c>
      <c r="E35" s="21" t="s">
        <v>9</v>
      </c>
      <c r="F35" s="17">
        <v>5</v>
      </c>
      <c r="G35" s="17">
        <v>1.82</v>
      </c>
      <c r="H35" s="58">
        <v>8.19</v>
      </c>
      <c r="I35" s="59"/>
      <c r="J35" s="17">
        <f t="shared" si="1"/>
        <v>50.05</v>
      </c>
    </row>
    <row r="36" spans="1:10" ht="12">
      <c r="A36" s="19" t="s">
        <v>222</v>
      </c>
      <c r="B36" s="19">
        <v>3754</v>
      </c>
      <c r="C36" s="14" t="s">
        <v>140</v>
      </c>
      <c r="D36" s="16" t="s">
        <v>159</v>
      </c>
      <c r="E36" s="21" t="s">
        <v>9</v>
      </c>
      <c r="F36" s="17">
        <f>167*0.5</f>
        <v>83.5</v>
      </c>
      <c r="G36" s="17">
        <v>2.91</v>
      </c>
      <c r="H36" s="58"/>
      <c r="I36" s="59"/>
      <c r="J36" s="17">
        <f t="shared" si="1"/>
        <v>242.985</v>
      </c>
    </row>
    <row r="37" spans="1:10" ht="12">
      <c r="A37" s="19" t="s">
        <v>223</v>
      </c>
      <c r="B37" s="19">
        <v>20008</v>
      </c>
      <c r="C37" s="14" t="s">
        <v>249</v>
      </c>
      <c r="D37" s="16" t="s">
        <v>43</v>
      </c>
      <c r="E37" s="21" t="s">
        <v>9</v>
      </c>
      <c r="F37" s="17">
        <f>F36*2*0.5</f>
        <v>83.5</v>
      </c>
      <c r="G37" s="17">
        <v>8.98</v>
      </c>
      <c r="H37" s="58">
        <v>8.48</v>
      </c>
      <c r="I37" s="59"/>
      <c r="J37" s="17">
        <f t="shared" si="1"/>
        <v>1457.91</v>
      </c>
    </row>
    <row r="38" spans="1:10" ht="12">
      <c r="A38" s="19">
        <v>72934</v>
      </c>
      <c r="B38" s="19">
        <v>2373</v>
      </c>
      <c r="C38" s="14" t="s">
        <v>169</v>
      </c>
      <c r="D38" s="16" t="s">
        <v>124</v>
      </c>
      <c r="E38" s="21" t="s">
        <v>9</v>
      </c>
      <c r="F38" s="17">
        <v>6</v>
      </c>
      <c r="G38" s="17">
        <v>57.89</v>
      </c>
      <c r="H38" s="58">
        <v>73.94</v>
      </c>
      <c r="I38" s="59"/>
      <c r="J38" s="17">
        <f t="shared" si="1"/>
        <v>790.98</v>
      </c>
    </row>
    <row r="39" spans="1:10" ht="12">
      <c r="A39" s="19">
        <v>73775</v>
      </c>
      <c r="B39" s="19">
        <v>2674</v>
      </c>
      <c r="C39" s="14" t="s">
        <v>170</v>
      </c>
      <c r="D39" s="16" t="s">
        <v>44</v>
      </c>
      <c r="E39" s="21" t="s">
        <v>19</v>
      </c>
      <c r="F39" s="17">
        <f>1365*0.5</f>
        <v>682.5</v>
      </c>
      <c r="G39" s="17">
        <v>1.73</v>
      </c>
      <c r="H39" s="58">
        <v>3.63</v>
      </c>
      <c r="I39" s="59"/>
      <c r="J39" s="17">
        <f t="shared" si="1"/>
        <v>3658.2</v>
      </c>
    </row>
    <row r="40" spans="1:10" ht="12">
      <c r="A40" s="19" t="s">
        <v>224</v>
      </c>
      <c r="B40" s="19">
        <v>10892</v>
      </c>
      <c r="C40" s="14" t="s">
        <v>188</v>
      </c>
      <c r="D40" s="16" t="s">
        <v>45</v>
      </c>
      <c r="E40" s="21" t="s">
        <v>9</v>
      </c>
      <c r="F40" s="17">
        <v>5</v>
      </c>
      <c r="G40" s="17">
        <v>98</v>
      </c>
      <c r="H40" s="58">
        <v>138.47</v>
      </c>
      <c r="I40" s="59"/>
      <c r="J40" s="17">
        <f t="shared" si="1"/>
        <v>1182.35</v>
      </c>
    </row>
    <row r="41" spans="1:10" ht="12">
      <c r="A41" s="19">
        <v>74116</v>
      </c>
      <c r="B41" s="19">
        <v>939</v>
      </c>
      <c r="C41" s="14" t="s">
        <v>189</v>
      </c>
      <c r="D41" s="16" t="s">
        <v>46</v>
      </c>
      <c r="E41" s="21" t="s">
        <v>19</v>
      </c>
      <c r="F41" s="17">
        <f>3650*0.5</f>
        <v>1825</v>
      </c>
      <c r="G41" s="17">
        <v>0.83</v>
      </c>
      <c r="H41" s="58">
        <v>3.17</v>
      </c>
      <c r="I41" s="59"/>
      <c r="J41" s="17">
        <f t="shared" si="1"/>
        <v>7300</v>
      </c>
    </row>
    <row r="42" spans="1:10" ht="12">
      <c r="A42" s="19">
        <v>74173</v>
      </c>
      <c r="B42" s="19">
        <v>944</v>
      </c>
      <c r="C42" s="14" t="s">
        <v>190</v>
      </c>
      <c r="D42" s="16" t="s">
        <v>47</v>
      </c>
      <c r="E42" s="21" t="s">
        <v>19</v>
      </c>
      <c r="F42" s="17">
        <f>850*0.5</f>
        <v>425</v>
      </c>
      <c r="G42" s="17">
        <v>1.33</v>
      </c>
      <c r="H42" s="58">
        <v>3.98</v>
      </c>
      <c r="I42" s="59"/>
      <c r="J42" s="17">
        <f t="shared" si="1"/>
        <v>2256.75</v>
      </c>
    </row>
    <row r="43" spans="1:10" ht="12">
      <c r="A43" s="19" t="s">
        <v>211</v>
      </c>
      <c r="B43" s="19">
        <v>940</v>
      </c>
      <c r="C43" s="14" t="s">
        <v>191</v>
      </c>
      <c r="D43" s="16" t="s">
        <v>158</v>
      </c>
      <c r="E43" s="21" t="s">
        <v>19</v>
      </c>
      <c r="F43" s="17">
        <f>360*0.5</f>
        <v>180</v>
      </c>
      <c r="G43" s="17">
        <v>1.91</v>
      </c>
      <c r="H43" s="58">
        <v>4.88</v>
      </c>
      <c r="I43" s="59"/>
      <c r="J43" s="17">
        <f t="shared" si="1"/>
        <v>1222.2</v>
      </c>
    </row>
    <row r="44" spans="1:10" ht="12">
      <c r="A44" s="19">
        <v>72331</v>
      </c>
      <c r="B44" s="19">
        <v>20110</v>
      </c>
      <c r="C44" s="14" t="s">
        <v>192</v>
      </c>
      <c r="D44" s="16" t="s">
        <v>48</v>
      </c>
      <c r="E44" s="21" t="s">
        <v>9</v>
      </c>
      <c r="F44" s="17">
        <v>20</v>
      </c>
      <c r="G44" s="17">
        <v>3.44</v>
      </c>
      <c r="H44" s="58"/>
      <c r="I44" s="59"/>
      <c r="J44" s="17">
        <f t="shared" si="1"/>
        <v>68.8</v>
      </c>
    </row>
    <row r="45" spans="1:10" ht="12">
      <c r="A45" s="19">
        <v>72332</v>
      </c>
      <c r="B45" s="19">
        <v>12128</v>
      </c>
      <c r="C45" s="14" t="s">
        <v>193</v>
      </c>
      <c r="D45" s="16" t="s">
        <v>49</v>
      </c>
      <c r="E45" s="21" t="s">
        <v>9</v>
      </c>
      <c r="F45" s="17">
        <v>7</v>
      </c>
      <c r="G45" s="17">
        <v>3.37</v>
      </c>
      <c r="H45" s="58">
        <v>7.4</v>
      </c>
      <c r="I45" s="59"/>
      <c r="J45" s="17">
        <f t="shared" si="1"/>
        <v>75.39</v>
      </c>
    </row>
    <row r="46" spans="1:10" ht="12">
      <c r="A46" s="19">
        <v>72332</v>
      </c>
      <c r="B46" s="19">
        <v>12129</v>
      </c>
      <c r="C46" s="14" t="s">
        <v>194</v>
      </c>
      <c r="D46" s="16" t="s">
        <v>50</v>
      </c>
      <c r="E46" s="21" t="s">
        <v>9</v>
      </c>
      <c r="F46" s="17">
        <v>10</v>
      </c>
      <c r="G46" s="17">
        <v>6.04</v>
      </c>
      <c r="H46" s="58">
        <v>9.9</v>
      </c>
      <c r="I46" s="59"/>
      <c r="J46" s="17">
        <f t="shared" si="1"/>
        <v>159.4</v>
      </c>
    </row>
    <row r="47" spans="1:10" ht="12">
      <c r="A47" s="19" t="s">
        <v>225</v>
      </c>
      <c r="B47" s="19">
        <v>12039</v>
      </c>
      <c r="C47" s="14" t="s">
        <v>195</v>
      </c>
      <c r="D47" s="16" t="s">
        <v>122</v>
      </c>
      <c r="E47" s="21" t="s">
        <v>9</v>
      </c>
      <c r="F47" s="17">
        <v>4</v>
      </c>
      <c r="G47" s="17">
        <v>240.87</v>
      </c>
      <c r="H47" s="58">
        <v>345.14</v>
      </c>
      <c r="I47" s="59"/>
      <c r="J47" s="17">
        <f t="shared" si="1"/>
        <v>2344.04</v>
      </c>
    </row>
    <row r="48" spans="1:10" ht="12">
      <c r="A48" s="19" t="s">
        <v>211</v>
      </c>
      <c r="B48" s="19">
        <v>1079</v>
      </c>
      <c r="C48" s="14" t="s">
        <v>196</v>
      </c>
      <c r="D48" s="16" t="s">
        <v>51</v>
      </c>
      <c r="E48" s="21" t="s">
        <v>9</v>
      </c>
      <c r="F48" s="17">
        <f>167*2*0.5</f>
        <v>167</v>
      </c>
      <c r="G48" s="17">
        <v>24.41</v>
      </c>
      <c r="H48" s="58"/>
      <c r="I48" s="59"/>
      <c r="J48" s="17">
        <f t="shared" si="1"/>
        <v>4076.47</v>
      </c>
    </row>
    <row r="49" spans="1:10" ht="12">
      <c r="A49" s="19" t="s">
        <v>211</v>
      </c>
      <c r="B49" s="19">
        <v>7527</v>
      </c>
      <c r="C49" s="14" t="s">
        <v>250</v>
      </c>
      <c r="D49" s="16" t="s">
        <v>52</v>
      </c>
      <c r="E49" s="21" t="s">
        <v>9</v>
      </c>
      <c r="F49" s="17">
        <f>30*0.5</f>
        <v>15</v>
      </c>
      <c r="G49" s="17">
        <v>7.89</v>
      </c>
      <c r="H49" s="58"/>
      <c r="I49" s="59"/>
      <c r="J49" s="17">
        <f t="shared" si="1"/>
        <v>118.35</v>
      </c>
    </row>
    <row r="50" spans="1:10" ht="12">
      <c r="A50" s="19">
        <v>72371</v>
      </c>
      <c r="B50" s="19">
        <v>7536</v>
      </c>
      <c r="C50" s="14" t="s">
        <v>251</v>
      </c>
      <c r="D50" s="16" t="s">
        <v>53</v>
      </c>
      <c r="E50" s="21" t="s">
        <v>9</v>
      </c>
      <c r="F50" s="17">
        <f>30*0.5</f>
        <v>15</v>
      </c>
      <c r="G50" s="17">
        <v>7.63</v>
      </c>
      <c r="H50" s="58">
        <v>7.4</v>
      </c>
      <c r="I50" s="59"/>
      <c r="J50" s="17">
        <f t="shared" si="1"/>
        <v>225.45</v>
      </c>
    </row>
    <row r="51" spans="1:10" ht="12">
      <c r="A51" s="19" t="s">
        <v>211</v>
      </c>
      <c r="B51" s="19">
        <v>7529</v>
      </c>
      <c r="C51" s="14" t="s">
        <v>197</v>
      </c>
      <c r="D51" s="16" t="s">
        <v>129</v>
      </c>
      <c r="E51" s="21" t="s">
        <v>9</v>
      </c>
      <c r="F51" s="17">
        <f>30*0.5</f>
        <v>15</v>
      </c>
      <c r="G51" s="17">
        <v>11.55</v>
      </c>
      <c r="H51" s="58"/>
      <c r="I51" s="59"/>
      <c r="J51" s="17">
        <f t="shared" si="1"/>
        <v>173.25</v>
      </c>
    </row>
    <row r="52" spans="3:10" ht="12">
      <c r="C52" s="67" t="s">
        <v>10</v>
      </c>
      <c r="D52" s="67"/>
      <c r="E52" s="67"/>
      <c r="F52" s="67"/>
      <c r="G52" s="67"/>
      <c r="H52" s="67"/>
      <c r="I52" s="67"/>
      <c r="J52" s="27">
        <f>SUM(J28:J51)</f>
        <v>31433.665000000005</v>
      </c>
    </row>
    <row r="53" spans="3:10" ht="23.25">
      <c r="C53" s="68" t="s">
        <v>134</v>
      </c>
      <c r="D53" s="68"/>
      <c r="E53" s="68"/>
      <c r="F53" s="68"/>
      <c r="G53" s="68"/>
      <c r="H53" s="68"/>
      <c r="I53" s="69" t="s">
        <v>176</v>
      </c>
      <c r="J53" s="69"/>
    </row>
    <row r="54" spans="3:10" ht="12">
      <c r="C54" s="70" t="s">
        <v>242</v>
      </c>
      <c r="D54" s="71"/>
      <c r="E54" s="71"/>
      <c r="F54" s="71"/>
      <c r="G54" s="71"/>
      <c r="H54" s="71"/>
      <c r="I54" s="71"/>
      <c r="J54" s="72"/>
    </row>
    <row r="55" spans="3:10" ht="12">
      <c r="C55" s="70" t="s">
        <v>171</v>
      </c>
      <c r="D55" s="71"/>
      <c r="E55" s="71"/>
      <c r="F55" s="71"/>
      <c r="G55" s="71"/>
      <c r="H55" s="71"/>
      <c r="I55" s="71"/>
      <c r="J55" s="72"/>
    </row>
    <row r="56" spans="3:10" ht="12">
      <c r="C56" s="60" t="s">
        <v>0</v>
      </c>
      <c r="D56" s="60"/>
      <c r="E56" s="74" t="s">
        <v>241</v>
      </c>
      <c r="F56" s="74"/>
      <c r="G56" s="61">
        <v>749.42</v>
      </c>
      <c r="H56" s="61"/>
      <c r="I56" s="62" t="s">
        <v>162</v>
      </c>
      <c r="J56" s="62"/>
    </row>
    <row r="57" spans="1:10" ht="23.25">
      <c r="A57" s="49" t="s">
        <v>244</v>
      </c>
      <c r="B57" s="49" t="s">
        <v>245</v>
      </c>
      <c r="C57" s="78" t="s">
        <v>135</v>
      </c>
      <c r="D57" s="79"/>
      <c r="E57" s="79"/>
      <c r="F57" s="79"/>
      <c r="G57" s="79"/>
      <c r="H57" s="79"/>
      <c r="I57" s="79"/>
      <c r="J57" s="79"/>
    </row>
    <row r="58" spans="1:10" ht="12">
      <c r="A58" s="49"/>
      <c r="B58" s="49"/>
      <c r="C58" s="66" t="s">
        <v>174</v>
      </c>
      <c r="D58" s="66"/>
      <c r="E58" s="66"/>
      <c r="F58" s="66"/>
      <c r="G58" s="66"/>
      <c r="H58" s="66"/>
      <c r="I58" s="66"/>
      <c r="J58" s="66"/>
    </row>
    <row r="59" spans="1:10" ht="12">
      <c r="A59" s="49"/>
      <c r="B59" s="49"/>
      <c r="C59" s="77" t="s">
        <v>243</v>
      </c>
      <c r="D59" s="77"/>
      <c r="E59" s="77"/>
      <c r="F59" s="77"/>
      <c r="G59" s="77"/>
      <c r="H59" s="77"/>
      <c r="I59" s="77"/>
      <c r="J59" s="77"/>
    </row>
    <row r="60" spans="1:10" ht="12">
      <c r="A60" s="49"/>
      <c r="B60" s="49"/>
      <c r="C60" s="25" t="s">
        <v>32</v>
      </c>
      <c r="D60" s="26" t="s">
        <v>161</v>
      </c>
      <c r="E60" s="23"/>
      <c r="F60" s="24"/>
      <c r="G60" s="24"/>
      <c r="H60" s="63"/>
      <c r="I60" s="63"/>
      <c r="J60" s="24"/>
    </row>
    <row r="61" spans="1:10" ht="12">
      <c r="A61" s="19" t="s">
        <v>226</v>
      </c>
      <c r="B61" s="19">
        <v>9881</v>
      </c>
      <c r="C61" s="14" t="s">
        <v>34</v>
      </c>
      <c r="D61" s="16" t="s">
        <v>155</v>
      </c>
      <c r="E61" s="21" t="s">
        <v>19</v>
      </c>
      <c r="F61" s="17">
        <f>165*0.7</f>
        <v>115.49999999999999</v>
      </c>
      <c r="G61" s="17">
        <v>15.71</v>
      </c>
      <c r="H61" s="58">
        <v>10.66</v>
      </c>
      <c r="I61" s="59"/>
      <c r="J61" s="17">
        <f>G61*F61+H61*F61</f>
        <v>3045.7349999999997</v>
      </c>
    </row>
    <row r="62" spans="1:10" ht="12">
      <c r="A62" s="19" t="s">
        <v>227</v>
      </c>
      <c r="B62" s="19">
        <v>9880</v>
      </c>
      <c r="C62" s="14" t="s">
        <v>36</v>
      </c>
      <c r="D62" s="16" t="s">
        <v>156</v>
      </c>
      <c r="E62" s="21" t="s">
        <v>19</v>
      </c>
      <c r="F62" s="17">
        <f>256*0.7</f>
        <v>179.2</v>
      </c>
      <c r="G62" s="17">
        <v>20.81</v>
      </c>
      <c r="H62" s="58">
        <v>15.99</v>
      </c>
      <c r="I62" s="59"/>
      <c r="J62" s="17">
        <f>G62*F62+H62*F62</f>
        <v>6594.5599999999995</v>
      </c>
    </row>
    <row r="63" spans="1:10" ht="12">
      <c r="A63" s="19"/>
      <c r="B63" s="19"/>
      <c r="C63" s="14" t="s">
        <v>37</v>
      </c>
      <c r="D63" s="16" t="s">
        <v>157</v>
      </c>
      <c r="E63" s="21" t="s">
        <v>19</v>
      </c>
      <c r="F63" s="17">
        <f>96*0.7</f>
        <v>67.19999999999999</v>
      </c>
      <c r="G63" s="17">
        <v>26.06</v>
      </c>
      <c r="H63" s="58">
        <v>23.13</v>
      </c>
      <c r="I63" s="59"/>
      <c r="J63" s="17">
        <f>G63*F63+H63*F63</f>
        <v>3305.5679999999993</v>
      </c>
    </row>
    <row r="64" spans="1:10" ht="12">
      <c r="A64" s="19"/>
      <c r="B64" s="19"/>
      <c r="C64" s="50" t="s">
        <v>10</v>
      </c>
      <c r="D64" s="51"/>
      <c r="E64" s="51"/>
      <c r="F64" s="51"/>
      <c r="G64" s="51"/>
      <c r="H64" s="51"/>
      <c r="I64" s="51"/>
      <c r="J64" s="22">
        <f>SUM(J61:J63)</f>
        <v>12945.862999999998</v>
      </c>
    </row>
    <row r="65" spans="1:10" ht="12">
      <c r="A65" s="19"/>
      <c r="B65" s="19"/>
      <c r="C65" s="28"/>
      <c r="D65" s="28"/>
      <c r="E65" s="28"/>
      <c r="F65" s="29"/>
      <c r="G65" s="29"/>
      <c r="H65" s="29"/>
      <c r="I65" s="29"/>
      <c r="J65" s="29"/>
    </row>
    <row r="66" spans="1:10" ht="12">
      <c r="A66" s="19"/>
      <c r="B66" s="19"/>
      <c r="C66" s="30" t="s">
        <v>54</v>
      </c>
      <c r="D66" s="31" t="s">
        <v>177</v>
      </c>
      <c r="E66" s="23"/>
      <c r="F66" s="24"/>
      <c r="G66" s="24"/>
      <c r="H66" s="63"/>
      <c r="I66" s="63"/>
      <c r="J66" s="24"/>
    </row>
    <row r="67" spans="1:10" ht="12">
      <c r="A67" s="19" t="s">
        <v>228</v>
      </c>
      <c r="B67" s="19"/>
      <c r="C67" s="25" t="s">
        <v>55</v>
      </c>
      <c r="D67" s="32" t="s">
        <v>61</v>
      </c>
      <c r="E67" s="21" t="s">
        <v>4</v>
      </c>
      <c r="F67" s="17">
        <f>1955*0.5</f>
        <v>977.5</v>
      </c>
      <c r="G67" s="17"/>
      <c r="H67" s="58">
        <v>33.65</v>
      </c>
      <c r="I67" s="59"/>
      <c r="J67" s="17">
        <f>G67*F67+H67*F67</f>
        <v>32892.875</v>
      </c>
    </row>
    <row r="68" spans="1:10" ht="12">
      <c r="A68" s="19" t="s">
        <v>229</v>
      </c>
      <c r="B68" s="19"/>
      <c r="C68" s="14" t="s">
        <v>56</v>
      </c>
      <c r="D68" s="33" t="s">
        <v>141</v>
      </c>
      <c r="E68" s="19" t="s">
        <v>19</v>
      </c>
      <c r="F68" s="34">
        <v>450</v>
      </c>
      <c r="G68" s="34"/>
      <c r="H68" s="58">
        <v>3.91</v>
      </c>
      <c r="I68" s="59"/>
      <c r="J68" s="17">
        <f>G68*F68+H68*F68</f>
        <v>1759.5</v>
      </c>
    </row>
    <row r="69" spans="1:10" ht="12">
      <c r="A69" s="19"/>
      <c r="B69" s="19"/>
      <c r="C69" s="50" t="s">
        <v>10</v>
      </c>
      <c r="D69" s="51"/>
      <c r="E69" s="51"/>
      <c r="F69" s="51"/>
      <c r="G69" s="51"/>
      <c r="H69" s="51"/>
      <c r="I69" s="51"/>
      <c r="J69" s="22">
        <f>J67+J68</f>
        <v>34652.375</v>
      </c>
    </row>
    <row r="70" spans="1:10" ht="12">
      <c r="A70" s="19"/>
      <c r="B70" s="19"/>
      <c r="C70" s="14" t="s">
        <v>57</v>
      </c>
      <c r="D70" s="15" t="s">
        <v>63</v>
      </c>
      <c r="E70" s="23"/>
      <c r="F70" s="24"/>
      <c r="G70" s="24"/>
      <c r="H70" s="63"/>
      <c r="I70" s="63"/>
      <c r="J70" s="24"/>
    </row>
    <row r="71" spans="1:10" ht="12">
      <c r="A71" s="19">
        <v>5968</v>
      </c>
      <c r="B71" s="19"/>
      <c r="C71" s="14" t="s">
        <v>58</v>
      </c>
      <c r="D71" s="16" t="s">
        <v>65</v>
      </c>
      <c r="E71" s="21" t="s">
        <v>4</v>
      </c>
      <c r="F71" s="17">
        <v>285</v>
      </c>
      <c r="G71" s="17"/>
      <c r="H71" s="58">
        <v>26.54</v>
      </c>
      <c r="I71" s="59"/>
      <c r="J71" s="17">
        <f>G71*F71+H71*F71</f>
        <v>7563.9</v>
      </c>
    </row>
    <row r="72" spans="1:10" ht="12">
      <c r="A72" s="19"/>
      <c r="B72" s="19"/>
      <c r="C72" s="50" t="s">
        <v>10</v>
      </c>
      <c r="D72" s="51"/>
      <c r="E72" s="51"/>
      <c r="F72" s="51"/>
      <c r="G72" s="51"/>
      <c r="H72" s="51"/>
      <c r="I72" s="51"/>
      <c r="J72" s="22">
        <f>J71</f>
        <v>7563.9</v>
      </c>
    </row>
    <row r="73" spans="1:10" ht="12">
      <c r="A73" s="19"/>
      <c r="B73" s="19"/>
      <c r="C73" s="14" t="s">
        <v>59</v>
      </c>
      <c r="D73" s="15" t="s">
        <v>66</v>
      </c>
      <c r="E73" s="23"/>
      <c r="F73" s="24"/>
      <c r="G73" s="24"/>
      <c r="H73" s="63"/>
      <c r="I73" s="63"/>
      <c r="J73" s="24"/>
    </row>
    <row r="74" spans="1:10" ht="12">
      <c r="A74" s="19">
        <v>73931</v>
      </c>
      <c r="B74" s="19"/>
      <c r="C74" s="14" t="s">
        <v>60</v>
      </c>
      <c r="D74" s="16" t="s">
        <v>142</v>
      </c>
      <c r="E74" s="21" t="s">
        <v>4</v>
      </c>
      <c r="F74" s="17">
        <v>492.07</v>
      </c>
      <c r="G74" s="17"/>
      <c r="H74" s="58">
        <v>30.19</v>
      </c>
      <c r="I74" s="59"/>
      <c r="J74" s="17">
        <f aca="true" t="shared" si="2" ref="J74:J79">G74*F74+H74*F74</f>
        <v>14855.5933</v>
      </c>
    </row>
    <row r="75" spans="1:10" ht="12">
      <c r="A75" s="19">
        <v>74088</v>
      </c>
      <c r="B75" s="19">
        <v>7186</v>
      </c>
      <c r="C75" s="14" t="s">
        <v>198</v>
      </c>
      <c r="D75" s="16" t="s">
        <v>143</v>
      </c>
      <c r="E75" s="21" t="s">
        <v>4</v>
      </c>
      <c r="F75" s="17">
        <v>492.07</v>
      </c>
      <c r="G75" s="17">
        <v>21.72</v>
      </c>
      <c r="H75" s="58">
        <v>22.43</v>
      </c>
      <c r="I75" s="59"/>
      <c r="J75" s="17">
        <f t="shared" si="2"/>
        <v>21724.8905</v>
      </c>
    </row>
    <row r="76" spans="1:10" ht="12">
      <c r="A76" s="19">
        <v>73634</v>
      </c>
      <c r="B76" s="19"/>
      <c r="C76" s="14" t="s">
        <v>199</v>
      </c>
      <c r="D76" s="16" t="s">
        <v>167</v>
      </c>
      <c r="E76" s="21" t="s">
        <v>4</v>
      </c>
      <c r="F76" s="17">
        <v>86.94</v>
      </c>
      <c r="G76" s="17"/>
      <c r="H76" s="58">
        <v>65.15</v>
      </c>
      <c r="I76" s="59"/>
      <c r="J76" s="17">
        <f t="shared" si="2"/>
        <v>5664.1410000000005</v>
      </c>
    </row>
    <row r="77" spans="1:10" ht="12">
      <c r="A77" s="19">
        <v>75220</v>
      </c>
      <c r="B77" s="19">
        <v>20236</v>
      </c>
      <c r="C77" s="14" t="s">
        <v>200</v>
      </c>
      <c r="D77" s="16" t="s">
        <v>144</v>
      </c>
      <c r="E77" s="21" t="s">
        <v>19</v>
      </c>
      <c r="F77" s="17">
        <v>42</v>
      </c>
      <c r="G77" s="17">
        <v>25.82</v>
      </c>
      <c r="H77" s="58">
        <v>28.17</v>
      </c>
      <c r="I77" s="59"/>
      <c r="J77" s="17">
        <f t="shared" si="2"/>
        <v>2267.58</v>
      </c>
    </row>
    <row r="78" spans="1:10" ht="12">
      <c r="A78" s="19">
        <v>72104</v>
      </c>
      <c r="B78" s="19">
        <v>1108</v>
      </c>
      <c r="C78" s="14" t="s">
        <v>201</v>
      </c>
      <c r="D78" s="16" t="s">
        <v>145</v>
      </c>
      <c r="E78" s="21" t="s">
        <v>19</v>
      </c>
      <c r="F78" s="17">
        <v>165</v>
      </c>
      <c r="G78" s="17">
        <v>12.89</v>
      </c>
      <c r="H78" s="58">
        <v>24.36</v>
      </c>
      <c r="I78" s="59"/>
      <c r="J78" s="17">
        <f t="shared" si="2"/>
        <v>6146.25</v>
      </c>
    </row>
    <row r="79" spans="1:10" ht="12">
      <c r="A79" s="19">
        <v>72106</v>
      </c>
      <c r="B79" s="19">
        <v>1115</v>
      </c>
      <c r="C79" s="14" t="s">
        <v>202</v>
      </c>
      <c r="D79" s="16" t="s">
        <v>146</v>
      </c>
      <c r="E79" s="21" t="s">
        <v>19</v>
      </c>
      <c r="F79" s="17">
        <v>35</v>
      </c>
      <c r="G79" s="17">
        <v>10.31</v>
      </c>
      <c r="H79" s="58">
        <v>16.24</v>
      </c>
      <c r="I79" s="59"/>
      <c r="J79" s="17">
        <f t="shared" si="2"/>
        <v>929.25</v>
      </c>
    </row>
    <row r="80" spans="1:10" ht="12">
      <c r="A80" s="19"/>
      <c r="B80" s="19"/>
      <c r="C80" s="50" t="s">
        <v>10</v>
      </c>
      <c r="D80" s="51"/>
      <c r="E80" s="51"/>
      <c r="F80" s="51"/>
      <c r="G80" s="51"/>
      <c r="H80" s="51"/>
      <c r="I80" s="51"/>
      <c r="J80" s="22">
        <f>SUM(J74:J79)</f>
        <v>51587.70480000001</v>
      </c>
    </row>
    <row r="81" spans="1:10" ht="12">
      <c r="A81" s="19"/>
      <c r="B81" s="19"/>
      <c r="C81" s="14" t="s">
        <v>62</v>
      </c>
      <c r="D81" s="15" t="s">
        <v>68</v>
      </c>
      <c r="E81" s="21"/>
      <c r="F81" s="17"/>
      <c r="G81" s="17"/>
      <c r="H81" s="58"/>
      <c r="I81" s="59"/>
      <c r="J81" s="17"/>
    </row>
    <row r="82" spans="1:10" ht="12">
      <c r="A82" s="19" t="s">
        <v>230</v>
      </c>
      <c r="B82" s="19"/>
      <c r="C82" s="14" t="s">
        <v>64</v>
      </c>
      <c r="D82" s="16" t="s">
        <v>147</v>
      </c>
      <c r="E82" s="21" t="s">
        <v>9</v>
      </c>
      <c r="F82" s="17">
        <v>19</v>
      </c>
      <c r="G82" s="17"/>
      <c r="H82" s="58">
        <v>243.74</v>
      </c>
      <c r="I82" s="59"/>
      <c r="J82" s="17">
        <f>G82*F82+H82*F82</f>
        <v>4631.06</v>
      </c>
    </row>
    <row r="83" spans="1:10" ht="12">
      <c r="A83" s="19"/>
      <c r="B83" s="19"/>
      <c r="C83" s="50" t="s">
        <v>10</v>
      </c>
      <c r="D83" s="51"/>
      <c r="E83" s="51"/>
      <c r="F83" s="51"/>
      <c r="G83" s="51"/>
      <c r="H83" s="51"/>
      <c r="I83" s="51"/>
      <c r="J83" s="22">
        <f>J82</f>
        <v>4631.06</v>
      </c>
    </row>
    <row r="84" spans="1:10" ht="12">
      <c r="A84" s="19"/>
      <c r="B84" s="19"/>
      <c r="C84" s="14" t="s">
        <v>117</v>
      </c>
      <c r="D84" s="15" t="s">
        <v>71</v>
      </c>
      <c r="E84" s="23"/>
      <c r="F84" s="24"/>
      <c r="G84" s="24"/>
      <c r="H84" s="63"/>
      <c r="I84" s="63"/>
      <c r="J84" s="24"/>
    </row>
    <row r="85" spans="1:10" ht="12">
      <c r="A85" s="19"/>
      <c r="B85" s="19">
        <v>11155</v>
      </c>
      <c r="C85" s="14" t="s">
        <v>203</v>
      </c>
      <c r="D85" s="16" t="s">
        <v>130</v>
      </c>
      <c r="E85" s="21" t="s">
        <v>4</v>
      </c>
      <c r="F85" s="17">
        <v>9.43</v>
      </c>
      <c r="G85" s="17">
        <v>184.76</v>
      </c>
      <c r="H85" s="58"/>
      <c r="I85" s="59"/>
      <c r="J85" s="17">
        <f>G85*F85+H85*F85</f>
        <v>1742.2867999999999</v>
      </c>
    </row>
    <row r="86" spans="1:10" ht="12">
      <c r="A86" s="19">
        <v>74072</v>
      </c>
      <c r="B86" s="19"/>
      <c r="C86" s="14" t="s">
        <v>204</v>
      </c>
      <c r="D86" s="16" t="s">
        <v>166</v>
      </c>
      <c r="E86" s="21" t="s">
        <v>19</v>
      </c>
      <c r="F86" s="17">
        <v>0</v>
      </c>
      <c r="G86" s="17"/>
      <c r="H86" s="58">
        <v>77.34</v>
      </c>
      <c r="I86" s="59"/>
      <c r="J86" s="17">
        <f>G86*F86+H86*F86</f>
        <v>0</v>
      </c>
    </row>
    <row r="87" spans="1:10" ht="12">
      <c r="A87" s="19"/>
      <c r="B87" s="19"/>
      <c r="C87" s="50" t="s">
        <v>10</v>
      </c>
      <c r="D87" s="51"/>
      <c r="E87" s="51"/>
      <c r="F87" s="51"/>
      <c r="G87" s="51"/>
      <c r="H87" s="51"/>
      <c r="I87" s="51"/>
      <c r="J87" s="22">
        <f>J85+J86</f>
        <v>1742.2867999999999</v>
      </c>
    </row>
    <row r="88" spans="1:10" ht="12">
      <c r="A88" s="19"/>
      <c r="B88" s="19"/>
      <c r="C88" s="14" t="s">
        <v>67</v>
      </c>
      <c r="D88" s="15" t="s">
        <v>75</v>
      </c>
      <c r="E88" s="23"/>
      <c r="F88" s="24"/>
      <c r="G88" s="24"/>
      <c r="H88" s="63"/>
      <c r="I88" s="63"/>
      <c r="J88" s="24"/>
    </row>
    <row r="89" spans="1:10" ht="12">
      <c r="A89" s="19">
        <v>72120</v>
      </c>
      <c r="B89" s="19">
        <v>10507</v>
      </c>
      <c r="C89" s="14" t="s">
        <v>69</v>
      </c>
      <c r="D89" s="16" t="s">
        <v>168</v>
      </c>
      <c r="E89" s="21" t="s">
        <v>4</v>
      </c>
      <c r="F89" s="17">
        <f>63.6*0.5</f>
        <v>31.8</v>
      </c>
      <c r="G89" s="17">
        <v>127.89</v>
      </c>
      <c r="H89" s="58">
        <v>227.29</v>
      </c>
      <c r="I89" s="59"/>
      <c r="J89" s="17">
        <f>G89*F89+H89*F89</f>
        <v>11294.724</v>
      </c>
    </row>
    <row r="90" spans="1:10" ht="12">
      <c r="A90" s="19"/>
      <c r="B90" s="19"/>
      <c r="C90" s="50" t="s">
        <v>10</v>
      </c>
      <c r="D90" s="51"/>
      <c r="E90" s="51"/>
      <c r="F90" s="51"/>
      <c r="G90" s="51"/>
      <c r="H90" s="51"/>
      <c r="I90" s="51"/>
      <c r="J90" s="22">
        <f>J89</f>
        <v>11294.724</v>
      </c>
    </row>
    <row r="91" spans="1:10" ht="12">
      <c r="A91" s="19"/>
      <c r="B91" s="19"/>
      <c r="C91" s="14" t="s">
        <v>70</v>
      </c>
      <c r="D91" s="15" t="s">
        <v>78</v>
      </c>
      <c r="E91" s="23"/>
      <c r="F91" s="24"/>
      <c r="G91" s="24"/>
      <c r="H91" s="63"/>
      <c r="I91" s="63"/>
      <c r="J91" s="24"/>
    </row>
    <row r="92" spans="1:10" ht="12">
      <c r="A92" s="19" t="s">
        <v>231</v>
      </c>
      <c r="B92" s="19"/>
      <c r="C92" s="14" t="s">
        <v>72</v>
      </c>
      <c r="D92" s="16" t="s">
        <v>80</v>
      </c>
      <c r="E92" s="21" t="s">
        <v>4</v>
      </c>
      <c r="F92" s="17">
        <f>2750.5*0.5</f>
        <v>1375.25</v>
      </c>
      <c r="G92" s="17"/>
      <c r="H92" s="58">
        <v>3.84</v>
      </c>
      <c r="I92" s="59"/>
      <c r="J92" s="17">
        <f>G92*F92+H92*F92</f>
        <v>5280.96</v>
      </c>
    </row>
    <row r="93" spans="1:10" ht="12">
      <c r="A93" s="19">
        <v>5995</v>
      </c>
      <c r="B93" s="19"/>
      <c r="C93" s="14" t="s">
        <v>73</v>
      </c>
      <c r="D93" s="16" t="s">
        <v>82</v>
      </c>
      <c r="E93" s="21" t="s">
        <v>4</v>
      </c>
      <c r="F93" s="17">
        <f>2750.5*0.5</f>
        <v>1375.25</v>
      </c>
      <c r="G93" s="17"/>
      <c r="H93" s="58">
        <v>10.96</v>
      </c>
      <c r="I93" s="59"/>
      <c r="J93" s="17">
        <f>G93*F93+H93*F93</f>
        <v>15072.740000000002</v>
      </c>
    </row>
    <row r="94" spans="1:10" ht="12">
      <c r="A94" s="19"/>
      <c r="B94" s="19"/>
      <c r="C94" s="50" t="s">
        <v>10</v>
      </c>
      <c r="D94" s="51"/>
      <c r="E94" s="67"/>
      <c r="F94" s="67"/>
      <c r="G94" s="67"/>
      <c r="H94" s="67"/>
      <c r="I94" s="67"/>
      <c r="J94" s="27">
        <f>J92+J93</f>
        <v>20353.7</v>
      </c>
    </row>
    <row r="95" spans="1:10" ht="12">
      <c r="A95" s="19"/>
      <c r="B95" s="19"/>
      <c r="C95" s="14" t="s">
        <v>74</v>
      </c>
      <c r="D95" s="35" t="s">
        <v>84</v>
      </c>
      <c r="E95" s="23"/>
      <c r="F95" s="24"/>
      <c r="G95" s="24"/>
      <c r="H95" s="63"/>
      <c r="I95" s="63"/>
      <c r="J95" s="24"/>
    </row>
    <row r="96" spans="1:10" ht="12">
      <c r="A96" s="19">
        <v>5975</v>
      </c>
      <c r="B96" s="19"/>
      <c r="C96" s="14" t="s">
        <v>76</v>
      </c>
      <c r="D96" s="16" t="s">
        <v>131</v>
      </c>
      <c r="E96" s="36" t="s">
        <v>4</v>
      </c>
      <c r="F96" s="37">
        <f>(418.17+90.56+331.25+71.55)*0.5</f>
        <v>455.765</v>
      </c>
      <c r="G96" s="37"/>
      <c r="H96" s="75">
        <v>6.76</v>
      </c>
      <c r="I96" s="76"/>
      <c r="J96" s="17">
        <f>G96*F96+H96*F96</f>
        <v>3080.9714</v>
      </c>
    </row>
    <row r="97" spans="1:10" ht="12">
      <c r="A97" s="19">
        <v>5994</v>
      </c>
      <c r="B97" s="19"/>
      <c r="C97" s="14" t="s">
        <v>150</v>
      </c>
      <c r="D97" s="16" t="s">
        <v>132</v>
      </c>
      <c r="E97" s="21" t="s">
        <v>4</v>
      </c>
      <c r="F97" s="17">
        <f>(418.17+90.56+331.25+71.55)*0.5</f>
        <v>455.765</v>
      </c>
      <c r="G97" s="17"/>
      <c r="H97" s="58">
        <v>13.42</v>
      </c>
      <c r="I97" s="59"/>
      <c r="J97" s="17">
        <f>G97*F97+H97*F97</f>
        <v>6116.3663</v>
      </c>
    </row>
    <row r="98" spans="1:10" ht="12">
      <c r="A98" s="19"/>
      <c r="B98" s="19"/>
      <c r="C98" s="50" t="s">
        <v>10</v>
      </c>
      <c r="D98" s="51"/>
      <c r="E98" s="67"/>
      <c r="F98" s="67"/>
      <c r="G98" s="67"/>
      <c r="H98" s="67"/>
      <c r="I98" s="67"/>
      <c r="J98" s="47">
        <f>J96+J97</f>
        <v>9197.3377</v>
      </c>
    </row>
    <row r="99" spans="1:9" ht="12">
      <c r="A99" s="19"/>
      <c r="B99" s="19"/>
      <c r="C99" s="14" t="s">
        <v>77</v>
      </c>
      <c r="D99" s="35" t="s">
        <v>86</v>
      </c>
      <c r="E99" s="23"/>
      <c r="F99" s="24"/>
      <c r="G99" s="24"/>
      <c r="H99" s="63"/>
      <c r="I99" s="63"/>
    </row>
    <row r="100" spans="1:10" ht="12">
      <c r="A100" s="19" t="s">
        <v>232</v>
      </c>
      <c r="B100" s="19"/>
      <c r="C100" s="14" t="s">
        <v>79</v>
      </c>
      <c r="D100" s="16" t="s">
        <v>148</v>
      </c>
      <c r="E100" s="36" t="s">
        <v>4</v>
      </c>
      <c r="F100" s="37">
        <v>418.17</v>
      </c>
      <c r="G100" s="37"/>
      <c r="H100" s="75">
        <v>26.74</v>
      </c>
      <c r="I100" s="76"/>
      <c r="J100" s="17">
        <f aca="true" t="shared" si="3" ref="J100:J105">G100*F100+H100*F100</f>
        <v>11181.8658</v>
      </c>
    </row>
    <row r="101" spans="1:10" ht="12">
      <c r="A101" s="19" t="s">
        <v>233</v>
      </c>
      <c r="B101" s="19"/>
      <c r="C101" s="14" t="s">
        <v>81</v>
      </c>
      <c r="D101" s="16" t="s">
        <v>149</v>
      </c>
      <c r="E101" s="21" t="s">
        <v>4</v>
      </c>
      <c r="F101" s="17">
        <v>120</v>
      </c>
      <c r="G101" s="17"/>
      <c r="H101" s="58">
        <v>11.15</v>
      </c>
      <c r="I101" s="59"/>
      <c r="J101" s="17">
        <f t="shared" si="3"/>
        <v>1338</v>
      </c>
    </row>
    <row r="102" spans="1:10" ht="12">
      <c r="A102" s="19" t="s">
        <v>234</v>
      </c>
      <c r="B102" s="19"/>
      <c r="C102" s="14" t="s">
        <v>205</v>
      </c>
      <c r="D102" s="16" t="s">
        <v>151</v>
      </c>
      <c r="E102" s="21" t="s">
        <v>4</v>
      </c>
      <c r="F102" s="17">
        <v>0</v>
      </c>
      <c r="G102" s="17"/>
      <c r="H102" s="58">
        <v>13.06</v>
      </c>
      <c r="I102" s="59"/>
      <c r="J102" s="17">
        <f t="shared" si="3"/>
        <v>0</v>
      </c>
    </row>
    <row r="103" spans="1:10" ht="12">
      <c r="A103" s="19"/>
      <c r="B103" s="19">
        <v>4786</v>
      </c>
      <c r="C103" s="14" t="s">
        <v>206</v>
      </c>
      <c r="D103" s="16" t="s">
        <v>88</v>
      </c>
      <c r="E103" s="21" t="s">
        <v>4</v>
      </c>
      <c r="F103" s="17">
        <f>(352.32+321.25)*0.5</f>
        <v>336.78499999999997</v>
      </c>
      <c r="G103" s="17">
        <v>29.48</v>
      </c>
      <c r="H103" s="58"/>
      <c r="I103" s="59"/>
      <c r="J103" s="17">
        <f t="shared" si="3"/>
        <v>9928.4218</v>
      </c>
    </row>
    <row r="104" spans="1:10" ht="12">
      <c r="A104" s="19">
        <v>6123</v>
      </c>
      <c r="B104" s="19"/>
      <c r="C104" s="14" t="s">
        <v>207</v>
      </c>
      <c r="D104" s="16" t="s">
        <v>89</v>
      </c>
      <c r="E104" s="21" t="s">
        <v>19</v>
      </c>
      <c r="F104" s="17">
        <f>873*0.5</f>
        <v>436.5</v>
      </c>
      <c r="G104" s="17"/>
      <c r="H104" s="58">
        <v>9.23</v>
      </c>
      <c r="I104" s="59"/>
      <c r="J104" s="17">
        <f t="shared" si="3"/>
        <v>4028.895</v>
      </c>
    </row>
    <row r="105" spans="1:10" ht="12">
      <c r="A105" s="19">
        <v>73829</v>
      </c>
      <c r="B105" s="19"/>
      <c r="C105" s="14" t="s">
        <v>208</v>
      </c>
      <c r="D105" s="16" t="s">
        <v>152</v>
      </c>
      <c r="E105" s="21" t="s">
        <v>4</v>
      </c>
      <c r="F105" s="17">
        <v>60</v>
      </c>
      <c r="G105" s="17"/>
      <c r="H105" s="58">
        <v>47.7</v>
      </c>
      <c r="I105" s="59"/>
      <c r="J105" s="17">
        <f t="shared" si="3"/>
        <v>2862</v>
      </c>
    </row>
    <row r="106" spans="3:10" ht="12">
      <c r="C106" s="67" t="s">
        <v>10</v>
      </c>
      <c r="D106" s="67"/>
      <c r="E106" s="67"/>
      <c r="F106" s="67"/>
      <c r="G106" s="67"/>
      <c r="H106" s="67"/>
      <c r="I106" s="67"/>
      <c r="J106" s="27">
        <f>SUM(J100:J105)</f>
        <v>29339.1826</v>
      </c>
    </row>
    <row r="107" spans="3:10" ht="23.25">
      <c r="C107" s="68" t="s">
        <v>134</v>
      </c>
      <c r="D107" s="68"/>
      <c r="E107" s="68"/>
      <c r="F107" s="68"/>
      <c r="G107" s="68"/>
      <c r="H107" s="68"/>
      <c r="I107" s="69" t="s">
        <v>180</v>
      </c>
      <c r="J107" s="69"/>
    </row>
    <row r="108" spans="3:10" ht="12">
      <c r="C108" s="70" t="s">
        <v>242</v>
      </c>
      <c r="D108" s="71"/>
      <c r="E108" s="71"/>
      <c r="F108" s="71"/>
      <c r="G108" s="71"/>
      <c r="H108" s="71"/>
      <c r="I108" s="71"/>
      <c r="J108" s="72"/>
    </row>
    <row r="109" spans="3:10" ht="12">
      <c r="C109" s="70" t="s">
        <v>171</v>
      </c>
      <c r="D109" s="71"/>
      <c r="E109" s="71"/>
      <c r="F109" s="71"/>
      <c r="G109" s="71"/>
      <c r="H109" s="71"/>
      <c r="I109" s="71"/>
      <c r="J109" s="72"/>
    </row>
    <row r="110" spans="3:10" ht="12">
      <c r="C110" s="60" t="s">
        <v>0</v>
      </c>
      <c r="D110" s="60"/>
      <c r="E110" s="74" t="s">
        <v>241</v>
      </c>
      <c r="F110" s="74"/>
      <c r="G110" s="61">
        <v>749.42</v>
      </c>
      <c r="H110" s="61"/>
      <c r="I110" s="62" t="s">
        <v>162</v>
      </c>
      <c r="J110" s="62"/>
    </row>
    <row r="111" spans="1:10" ht="23.25">
      <c r="A111" s="49" t="s">
        <v>244</v>
      </c>
      <c r="B111" s="49" t="s">
        <v>245</v>
      </c>
      <c r="C111" s="78" t="s">
        <v>135</v>
      </c>
      <c r="D111" s="79"/>
      <c r="E111" s="79"/>
      <c r="F111" s="79"/>
      <c r="G111" s="79"/>
      <c r="H111" s="79"/>
      <c r="I111" s="79"/>
      <c r="J111" s="79"/>
    </row>
    <row r="112" spans="1:10" ht="12">
      <c r="A112" s="49"/>
      <c r="B112" s="49"/>
      <c r="C112" s="66" t="s">
        <v>174</v>
      </c>
      <c r="D112" s="66"/>
      <c r="E112" s="66"/>
      <c r="F112" s="66"/>
      <c r="G112" s="66"/>
      <c r="H112" s="66"/>
      <c r="I112" s="66"/>
      <c r="J112" s="66"/>
    </row>
    <row r="113" spans="1:10" ht="12">
      <c r="A113" s="49"/>
      <c r="B113" s="49"/>
      <c r="C113" s="77" t="s">
        <v>243</v>
      </c>
      <c r="D113" s="77"/>
      <c r="E113" s="77"/>
      <c r="F113" s="77"/>
      <c r="G113" s="77"/>
      <c r="H113" s="77"/>
      <c r="I113" s="77"/>
      <c r="J113" s="77"/>
    </row>
    <row r="114" spans="1:10" ht="12">
      <c r="A114" s="49"/>
      <c r="B114" s="49"/>
      <c r="C114" s="14" t="s">
        <v>83</v>
      </c>
      <c r="D114" s="35" t="s">
        <v>119</v>
      </c>
      <c r="E114" s="39"/>
      <c r="F114" s="39"/>
      <c r="G114" s="39"/>
      <c r="H114" s="39"/>
      <c r="I114" s="39"/>
      <c r="J114" s="39"/>
    </row>
    <row r="115" spans="1:10" ht="12">
      <c r="A115" s="19"/>
      <c r="B115" s="19">
        <v>11469</v>
      </c>
      <c r="C115" s="14" t="s">
        <v>209</v>
      </c>
      <c r="D115" s="16" t="s">
        <v>91</v>
      </c>
      <c r="E115" s="21" t="s">
        <v>9</v>
      </c>
      <c r="F115" s="17">
        <v>13</v>
      </c>
      <c r="G115" s="17">
        <v>8.75</v>
      </c>
      <c r="H115" s="58"/>
      <c r="I115" s="59"/>
      <c r="J115" s="18">
        <f>G115*F115+H115*F115</f>
        <v>113.75</v>
      </c>
    </row>
    <row r="116" spans="1:10" ht="12">
      <c r="A116" s="19"/>
      <c r="B116" s="19">
        <v>21097</v>
      </c>
      <c r="C116" s="14" t="s">
        <v>210</v>
      </c>
      <c r="D116" s="16" t="s">
        <v>92</v>
      </c>
      <c r="E116" s="21" t="s">
        <v>9</v>
      </c>
      <c r="F116" s="17">
        <v>39</v>
      </c>
      <c r="G116" s="17">
        <v>7.19</v>
      </c>
      <c r="H116" s="58"/>
      <c r="I116" s="59"/>
      <c r="J116" s="17">
        <f>G116*F116+H116*F116</f>
        <v>280.41</v>
      </c>
    </row>
    <row r="117" spans="1:10" ht="12">
      <c r="A117" s="19"/>
      <c r="B117" s="19"/>
      <c r="C117" s="50" t="s">
        <v>10</v>
      </c>
      <c r="D117" s="51"/>
      <c r="E117" s="67"/>
      <c r="F117" s="67"/>
      <c r="G117" s="67"/>
      <c r="H117" s="67"/>
      <c r="I117" s="67"/>
      <c r="J117" s="47">
        <f>J115+J116</f>
        <v>394.16</v>
      </c>
    </row>
    <row r="118" spans="1:9" ht="12">
      <c r="A118" s="19"/>
      <c r="B118" s="19"/>
      <c r="C118" s="14" t="s">
        <v>85</v>
      </c>
      <c r="D118" s="35" t="s">
        <v>93</v>
      </c>
      <c r="E118" s="23"/>
      <c r="F118" s="24"/>
      <c r="G118" s="24"/>
      <c r="H118" s="63"/>
      <c r="I118" s="63"/>
    </row>
    <row r="119" spans="1:10" ht="12">
      <c r="A119" s="19" t="s">
        <v>235</v>
      </c>
      <c r="B119" s="19"/>
      <c r="C119" s="14" t="s">
        <v>87</v>
      </c>
      <c r="D119" s="16" t="s">
        <v>94</v>
      </c>
      <c r="E119" s="36" t="s">
        <v>4</v>
      </c>
      <c r="F119" s="37">
        <f>1550.6*0.5</f>
        <v>775.3</v>
      </c>
      <c r="G119" s="37"/>
      <c r="H119" s="75">
        <v>10.93</v>
      </c>
      <c r="I119" s="76"/>
      <c r="J119" s="17">
        <f aca="true" t="shared" si="4" ref="J119:J126">G119*F119+H119*F119</f>
        <v>8474.028999999999</v>
      </c>
    </row>
    <row r="120" spans="1:10" ht="12">
      <c r="A120" s="19" t="s">
        <v>236</v>
      </c>
      <c r="B120" s="19"/>
      <c r="C120" s="14" t="s">
        <v>252</v>
      </c>
      <c r="D120" s="16" t="s">
        <v>153</v>
      </c>
      <c r="E120" s="21" t="s">
        <v>4</v>
      </c>
      <c r="F120" s="17">
        <f>749.42*0.5</f>
        <v>374.71</v>
      </c>
      <c r="G120" s="17"/>
      <c r="H120" s="58">
        <v>8.49</v>
      </c>
      <c r="I120" s="59"/>
      <c r="J120" s="17">
        <f t="shared" si="4"/>
        <v>3181.2879</v>
      </c>
    </row>
    <row r="121" spans="1:10" ht="12">
      <c r="A121" s="19">
        <v>73750</v>
      </c>
      <c r="B121" s="19"/>
      <c r="C121" s="14" t="s">
        <v>254</v>
      </c>
      <c r="D121" s="16" t="s">
        <v>154</v>
      </c>
      <c r="E121" s="21" t="s">
        <v>4</v>
      </c>
      <c r="F121" s="17">
        <f>F120</f>
        <v>374.71</v>
      </c>
      <c r="G121" s="17"/>
      <c r="H121" s="58">
        <v>6.87</v>
      </c>
      <c r="I121" s="59"/>
      <c r="J121" s="17">
        <f t="shared" si="4"/>
        <v>2574.2577</v>
      </c>
    </row>
    <row r="122" spans="1:10" ht="12">
      <c r="A122" s="19" t="s">
        <v>237</v>
      </c>
      <c r="B122" s="19"/>
      <c r="C122" s="14" t="s">
        <v>255</v>
      </c>
      <c r="D122" s="16" t="s">
        <v>133</v>
      </c>
      <c r="E122" s="21" t="s">
        <v>4</v>
      </c>
      <c r="F122" s="17">
        <f>1562.5*0.5</f>
        <v>781.25</v>
      </c>
      <c r="G122" s="17"/>
      <c r="H122" s="58">
        <v>10.84</v>
      </c>
      <c r="I122" s="59"/>
      <c r="J122" s="17">
        <f t="shared" si="4"/>
        <v>8468.75</v>
      </c>
    </row>
    <row r="123" spans="1:10" ht="12">
      <c r="A123" s="19" t="s">
        <v>238</v>
      </c>
      <c r="B123" s="19"/>
      <c r="C123" s="14" t="s">
        <v>256</v>
      </c>
      <c r="D123" s="16" t="s">
        <v>125</v>
      </c>
      <c r="E123" s="21" t="s">
        <v>4</v>
      </c>
      <c r="F123" s="17">
        <f>914.3*0.5</f>
        <v>457.15</v>
      </c>
      <c r="G123" s="17"/>
      <c r="H123" s="58">
        <v>13.26</v>
      </c>
      <c r="I123" s="59"/>
      <c r="J123" s="17">
        <f t="shared" si="4"/>
        <v>6061.808999999999</v>
      </c>
    </row>
    <row r="124" spans="1:10" ht="12">
      <c r="A124" s="19">
        <v>73832</v>
      </c>
      <c r="B124" s="19"/>
      <c r="C124" s="14" t="s">
        <v>257</v>
      </c>
      <c r="D124" s="16" t="s">
        <v>95</v>
      </c>
      <c r="E124" s="21" t="s">
        <v>4</v>
      </c>
      <c r="F124" s="17">
        <f>63.84*0.5</f>
        <v>31.92</v>
      </c>
      <c r="G124" s="17"/>
      <c r="H124" s="58">
        <v>10.52</v>
      </c>
      <c r="I124" s="59"/>
      <c r="J124" s="17">
        <f t="shared" si="4"/>
        <v>335.7984</v>
      </c>
    </row>
    <row r="125" spans="1:10" ht="12">
      <c r="A125" s="19">
        <v>73739</v>
      </c>
      <c r="B125" s="19"/>
      <c r="C125" s="14" t="s">
        <v>258</v>
      </c>
      <c r="D125" s="16" t="s">
        <v>96</v>
      </c>
      <c r="E125" s="21" t="s">
        <v>4</v>
      </c>
      <c r="F125" s="17">
        <f>63.84*0.5</f>
        <v>31.92</v>
      </c>
      <c r="G125" s="17"/>
      <c r="H125" s="58">
        <v>8.63</v>
      </c>
      <c r="I125" s="59"/>
      <c r="J125" s="17">
        <f t="shared" si="4"/>
        <v>275.4696</v>
      </c>
    </row>
    <row r="126" spans="1:10" ht="12">
      <c r="A126" s="19" t="s">
        <v>239</v>
      </c>
      <c r="B126" s="19"/>
      <c r="C126" s="14" t="s">
        <v>259</v>
      </c>
      <c r="D126" s="16" t="s">
        <v>97</v>
      </c>
      <c r="E126" s="21" t="s">
        <v>4</v>
      </c>
      <c r="F126" s="17">
        <v>0</v>
      </c>
      <c r="G126" s="17"/>
      <c r="H126" s="58">
        <v>14.75</v>
      </c>
      <c r="I126" s="59"/>
      <c r="J126" s="17">
        <f t="shared" si="4"/>
        <v>0</v>
      </c>
    </row>
    <row r="127" spans="1:10" ht="12">
      <c r="A127" s="19"/>
      <c r="B127" s="19"/>
      <c r="C127" s="50" t="s">
        <v>10</v>
      </c>
      <c r="D127" s="51"/>
      <c r="E127" s="67"/>
      <c r="F127" s="67"/>
      <c r="G127" s="67"/>
      <c r="H127" s="67"/>
      <c r="I127" s="67"/>
      <c r="J127" s="47">
        <f>SUM(J119:J126)</f>
        <v>29371.4016</v>
      </c>
    </row>
    <row r="128" spans="1:9" ht="12">
      <c r="A128" s="19"/>
      <c r="B128" s="19"/>
      <c r="C128" s="14" t="s">
        <v>90</v>
      </c>
      <c r="D128" s="35" t="s">
        <v>98</v>
      </c>
      <c r="E128" s="40"/>
      <c r="F128" s="24"/>
      <c r="G128" s="24"/>
      <c r="H128" s="63"/>
      <c r="I128" s="63"/>
    </row>
    <row r="129" spans="1:10" ht="12">
      <c r="A129" s="19">
        <v>9537</v>
      </c>
      <c r="B129" s="19"/>
      <c r="C129" s="14" t="s">
        <v>260</v>
      </c>
      <c r="D129" s="41" t="s">
        <v>264</v>
      </c>
      <c r="E129" s="19" t="s">
        <v>4</v>
      </c>
      <c r="F129" s="34">
        <v>418.17</v>
      </c>
      <c r="G129" s="34"/>
      <c r="H129" s="73">
        <v>1.1</v>
      </c>
      <c r="I129" s="73"/>
      <c r="J129" s="17">
        <f>G129*F129+H129*F129</f>
        <v>459.9870000000001</v>
      </c>
    </row>
    <row r="130" spans="1:10" ht="12">
      <c r="A130" s="19"/>
      <c r="B130" s="19">
        <v>10848</v>
      </c>
      <c r="C130" s="14" t="s">
        <v>261</v>
      </c>
      <c r="D130" s="42" t="s">
        <v>240</v>
      </c>
      <c r="E130" s="21" t="s">
        <v>9</v>
      </c>
      <c r="F130" s="17">
        <v>1</v>
      </c>
      <c r="G130" s="17">
        <v>347.73</v>
      </c>
      <c r="H130" s="58"/>
      <c r="I130" s="59"/>
      <c r="J130" s="17">
        <f>G130*F130+H130*F130</f>
        <v>347.73</v>
      </c>
    </row>
    <row r="131" spans="3:10" ht="12">
      <c r="C131" s="67" t="s">
        <v>10</v>
      </c>
      <c r="D131" s="67"/>
      <c r="E131" s="67"/>
      <c r="F131" s="67"/>
      <c r="G131" s="67"/>
      <c r="H131" s="67"/>
      <c r="I131" s="67"/>
      <c r="J131" s="27">
        <f>SUM(J129:J130)</f>
        <v>807.7170000000001</v>
      </c>
    </row>
    <row r="132" spans="3:10" ht="12.75" customHeight="1">
      <c r="C132" s="74" t="s">
        <v>253</v>
      </c>
      <c r="D132" s="74"/>
      <c r="E132" s="74"/>
      <c r="F132" s="74"/>
      <c r="G132" s="74"/>
      <c r="H132" s="74"/>
      <c r="I132" s="74"/>
      <c r="J132" s="45">
        <f>J131+J127+J117+J106+J98+J94+J90+J87+J83+J80+J72+J69+J64+J52+J26+J14</f>
        <v>451046.97453</v>
      </c>
    </row>
  </sheetData>
  <sheetProtection/>
  <mergeCells count="152">
    <mergeCell ref="G4:H4"/>
    <mergeCell ref="E56:F56"/>
    <mergeCell ref="C111:J111"/>
    <mergeCell ref="C14:I14"/>
    <mergeCell ref="C59:J59"/>
    <mergeCell ref="C54:J54"/>
    <mergeCell ref="C55:J55"/>
    <mergeCell ref="C107:H107"/>
    <mergeCell ref="I107:J107"/>
    <mergeCell ref="C109:J109"/>
    <mergeCell ref="H17:I17"/>
    <mergeCell ref="H18:I18"/>
    <mergeCell ref="H19:I19"/>
    <mergeCell ref="H20:I20"/>
    <mergeCell ref="I1:J1"/>
    <mergeCell ref="C1:H1"/>
    <mergeCell ref="I4:J4"/>
    <mergeCell ref="J8:J9"/>
    <mergeCell ref="H8:I9"/>
    <mergeCell ref="C6:J6"/>
    <mergeCell ref="E4:F4"/>
    <mergeCell ref="C2:J2"/>
    <mergeCell ref="C3:J3"/>
    <mergeCell ref="C7:J7"/>
    <mergeCell ref="A7:A10"/>
    <mergeCell ref="B7:B10"/>
    <mergeCell ref="E8:E9"/>
    <mergeCell ref="F8:F9"/>
    <mergeCell ref="C4:D4"/>
    <mergeCell ref="C5:J5"/>
    <mergeCell ref="H84:I84"/>
    <mergeCell ref="H73:I73"/>
    <mergeCell ref="H75:I75"/>
    <mergeCell ref="H44:I44"/>
    <mergeCell ref="H45:I45"/>
    <mergeCell ref="H46:I46"/>
    <mergeCell ref="H47:I47"/>
    <mergeCell ref="H79:I79"/>
    <mergeCell ref="C57:J57"/>
    <mergeCell ref="H78:I78"/>
    <mergeCell ref="H118:I118"/>
    <mergeCell ref="H122:I122"/>
    <mergeCell ref="H123:I123"/>
    <mergeCell ref="H125:I125"/>
    <mergeCell ref="H119:I119"/>
    <mergeCell ref="H120:I120"/>
    <mergeCell ref="H121:I121"/>
    <mergeCell ref="H116:I116"/>
    <mergeCell ref="C112:J112"/>
    <mergeCell ref="C113:J113"/>
    <mergeCell ref="E110:F110"/>
    <mergeCell ref="G110:H110"/>
    <mergeCell ref="I110:J110"/>
    <mergeCell ref="H91:I91"/>
    <mergeCell ref="H88:I88"/>
    <mergeCell ref="H100:I100"/>
    <mergeCell ref="C98:I98"/>
    <mergeCell ref="C94:I94"/>
    <mergeCell ref="H89:I89"/>
    <mergeCell ref="C106:I106"/>
    <mergeCell ref="H96:I96"/>
    <mergeCell ref="H102:I102"/>
    <mergeCell ref="H103:I103"/>
    <mergeCell ref="H104:I104"/>
    <mergeCell ref="H105:I105"/>
    <mergeCell ref="H86:I86"/>
    <mergeCell ref="C69:I69"/>
    <mergeCell ref="C80:I80"/>
    <mergeCell ref="H61:I61"/>
    <mergeCell ref="H67:I67"/>
    <mergeCell ref="C72:I72"/>
    <mergeCell ref="H76:I76"/>
    <mergeCell ref="H77:I77"/>
    <mergeCell ref="H85:I85"/>
    <mergeCell ref="H71:I71"/>
    <mergeCell ref="H126:I126"/>
    <mergeCell ref="H124:I124"/>
    <mergeCell ref="C87:I87"/>
    <mergeCell ref="C90:I90"/>
    <mergeCell ref="H92:I92"/>
    <mergeCell ref="H97:I97"/>
    <mergeCell ref="H93:I93"/>
    <mergeCell ref="H101:I101"/>
    <mergeCell ref="H99:I99"/>
    <mergeCell ref="H95:I95"/>
    <mergeCell ref="C117:I117"/>
    <mergeCell ref="H115:I115"/>
    <mergeCell ref="C110:D110"/>
    <mergeCell ref="C108:J108"/>
    <mergeCell ref="H129:I129"/>
    <mergeCell ref="C132:I132"/>
    <mergeCell ref="C127:I127"/>
    <mergeCell ref="C131:I131"/>
    <mergeCell ref="H130:I130"/>
    <mergeCell ref="H128:I128"/>
    <mergeCell ref="H31:I31"/>
    <mergeCell ref="C83:I83"/>
    <mergeCell ref="H70:I70"/>
    <mergeCell ref="H74:I74"/>
    <mergeCell ref="H81:I81"/>
    <mergeCell ref="H82:I82"/>
    <mergeCell ref="H66:I66"/>
    <mergeCell ref="H49:I49"/>
    <mergeCell ref="H68:I68"/>
    <mergeCell ref="H10:I10"/>
    <mergeCell ref="C58:J58"/>
    <mergeCell ref="C52:I52"/>
    <mergeCell ref="H60:I60"/>
    <mergeCell ref="C53:H53"/>
    <mergeCell ref="I53:J53"/>
    <mergeCell ref="H29:I29"/>
    <mergeCell ref="H30:I30"/>
    <mergeCell ref="H51:I51"/>
    <mergeCell ref="H27:I27"/>
    <mergeCell ref="H15:I15"/>
    <mergeCell ref="C64:I64"/>
    <mergeCell ref="H62:I62"/>
    <mergeCell ref="H63:I63"/>
    <mergeCell ref="H32:I32"/>
    <mergeCell ref="H21:I21"/>
    <mergeCell ref="H38:I38"/>
    <mergeCell ref="H48:I48"/>
    <mergeCell ref="H12:I12"/>
    <mergeCell ref="H13:I13"/>
    <mergeCell ref="H34:I34"/>
    <mergeCell ref="H35:I35"/>
    <mergeCell ref="H36:I36"/>
    <mergeCell ref="G56:H56"/>
    <mergeCell ref="H50:I50"/>
    <mergeCell ref="H37:I37"/>
    <mergeCell ref="I56:J56"/>
    <mergeCell ref="H43:I43"/>
    <mergeCell ref="H24:I24"/>
    <mergeCell ref="H16:I16"/>
    <mergeCell ref="H33:I33"/>
    <mergeCell ref="H28:I28"/>
    <mergeCell ref="H11:I11"/>
    <mergeCell ref="C56:D56"/>
    <mergeCell ref="H39:I39"/>
    <mergeCell ref="H40:I40"/>
    <mergeCell ref="H41:I41"/>
    <mergeCell ref="H42:I42"/>
    <mergeCell ref="A57:A60"/>
    <mergeCell ref="B57:B60"/>
    <mergeCell ref="A111:A114"/>
    <mergeCell ref="B111:B114"/>
    <mergeCell ref="C26:I26"/>
    <mergeCell ref="C8:D9"/>
    <mergeCell ref="G8:G9"/>
    <mergeCell ref="H25:I25"/>
    <mergeCell ref="H22:I22"/>
    <mergeCell ref="H23:I23"/>
  </mergeCells>
  <printOptions/>
  <pageMargins left="0.7874015748031497" right="0.1968503937007874" top="0.4724409448818898" bottom="0.7874015748031497" header="0.31496062992125984" footer="0.5118110236220472"/>
  <pageSetup fitToHeight="0" horizontalDpi="600" verticalDpi="600" orientation="portrait" paperSize="9" scale="65" r:id="rId1"/>
  <headerFooter alignWithMargins="0">
    <oddFooter>&amp;R_________________________________
ENG. CIVIL PAULO B. DA CUNHA NETO 
CREA10804/D-GO</oddFooter>
  </headerFooter>
  <rowBreaks count="2" manualBreakCount="2">
    <brk id="52" max="255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PageLayoutView="0" workbookViewId="0" topLeftCell="A7">
      <selection activeCell="I37" sqref="I37"/>
    </sheetView>
  </sheetViews>
  <sheetFormatPr defaultColWidth="9.00390625" defaultRowHeight="12.75"/>
  <cols>
    <col min="1" max="1" width="5.140625" style="1" customWidth="1"/>
    <col min="2" max="2" width="29.7109375" style="2" customWidth="1"/>
    <col min="3" max="3" width="8.28125" style="2" customWidth="1"/>
    <col min="4" max="4" width="9.7109375" style="2" customWidth="1"/>
    <col min="5" max="5" width="8.8515625" style="2" customWidth="1"/>
    <col min="6" max="6" width="8.421875" style="2" customWidth="1"/>
    <col min="7" max="7" width="7.57421875" style="2" customWidth="1"/>
    <col min="8" max="8" width="8.28125" style="2" customWidth="1"/>
    <col min="9" max="9" width="7.140625" style="2" customWidth="1"/>
    <col min="10" max="10" width="8.28125" style="2" customWidth="1"/>
    <col min="11" max="11" width="7.421875" style="2" customWidth="1"/>
    <col min="12" max="12" width="8.7109375" style="2" customWidth="1"/>
    <col min="13" max="13" width="7.7109375" style="2" customWidth="1"/>
    <col min="14" max="14" width="7.8515625" style="2" customWidth="1"/>
    <col min="15" max="15" width="11.8515625" style="2" customWidth="1"/>
    <col min="16" max="16" width="10.140625" style="3" customWidth="1"/>
  </cols>
  <sheetData>
    <row r="1" spans="1:16" s="4" customFormat="1" ht="18">
      <c r="A1" s="102" t="s">
        <v>163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"/>
      <c r="N1" s="8"/>
      <c r="O1" s="104" t="s">
        <v>99</v>
      </c>
      <c r="P1" s="104"/>
    </row>
    <row r="2" spans="1:16" s="4" customFormat="1" ht="18">
      <c r="A2" s="95" t="s">
        <v>173</v>
      </c>
      <c r="B2" s="103"/>
      <c r="C2" s="103"/>
      <c r="D2" s="103"/>
      <c r="E2" s="103"/>
      <c r="F2" s="103"/>
      <c r="G2" s="96"/>
      <c r="H2" s="95"/>
      <c r="I2" s="103"/>
      <c r="J2" s="103"/>
      <c r="K2" s="103"/>
      <c r="L2" s="103"/>
      <c r="M2" s="103"/>
      <c r="N2" s="103"/>
      <c r="O2" s="103"/>
      <c r="P2" s="96"/>
    </row>
    <row r="3" spans="1:16" s="4" customFormat="1" ht="18">
      <c r="A3" s="95" t="s">
        <v>172</v>
      </c>
      <c r="B3" s="103"/>
      <c r="C3" s="103"/>
      <c r="D3" s="103"/>
      <c r="E3" s="103"/>
      <c r="F3" s="103"/>
      <c r="G3" s="96"/>
      <c r="H3" s="5"/>
      <c r="I3" s="6"/>
      <c r="J3" s="6"/>
      <c r="K3" s="6"/>
      <c r="L3" s="6"/>
      <c r="M3" s="6"/>
      <c r="N3" s="6"/>
      <c r="O3" s="6"/>
      <c r="P3" s="7"/>
    </row>
    <row r="4" spans="1:16" s="4" customFormat="1" ht="18">
      <c r="A4" s="95" t="s">
        <v>0</v>
      </c>
      <c r="B4" s="96"/>
      <c r="C4" s="97" t="s">
        <v>164</v>
      </c>
      <c r="D4" s="99"/>
      <c r="E4" s="98"/>
      <c r="F4" s="91"/>
      <c r="G4" s="92"/>
      <c r="H4" s="92"/>
      <c r="I4" s="92"/>
      <c r="J4" s="92"/>
      <c r="K4" s="92"/>
      <c r="L4" s="93"/>
      <c r="M4" s="9"/>
      <c r="N4" s="9"/>
      <c r="O4" s="97" t="s">
        <v>120</v>
      </c>
      <c r="P4" s="98"/>
    </row>
    <row r="5" spans="1:16" s="4" customFormat="1" ht="18">
      <c r="A5" s="101" t="s">
        <v>165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4" customFormat="1" ht="28.5" customHeight="1">
      <c r="A6" s="90" t="s">
        <v>100</v>
      </c>
      <c r="B6" s="90"/>
      <c r="C6" s="90"/>
      <c r="D6" s="90"/>
      <c r="E6" s="90"/>
      <c r="F6" s="90"/>
      <c r="G6" s="90"/>
      <c r="H6" s="90"/>
      <c r="I6" s="90"/>
      <c r="J6" s="90"/>
      <c r="K6" s="100" t="s">
        <v>101</v>
      </c>
      <c r="L6" s="100"/>
      <c r="M6" s="100"/>
      <c r="N6" s="100"/>
      <c r="O6" s="100"/>
      <c r="P6" s="100"/>
    </row>
    <row r="7" spans="1:16" ht="25.5">
      <c r="A7" s="94" t="s">
        <v>102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s="112" customFormat="1" ht="11.25">
      <c r="A8" s="128" t="s">
        <v>103</v>
      </c>
      <c r="B8" s="129" t="s">
        <v>104</v>
      </c>
      <c r="C8" s="130" t="s">
        <v>105</v>
      </c>
      <c r="D8" s="130"/>
      <c r="E8" s="130" t="s">
        <v>106</v>
      </c>
      <c r="F8" s="130"/>
      <c r="G8" s="130" t="s">
        <v>107</v>
      </c>
      <c r="H8" s="130"/>
      <c r="I8" s="130" t="s">
        <v>108</v>
      </c>
      <c r="J8" s="130"/>
      <c r="K8" s="130" t="s">
        <v>109</v>
      </c>
      <c r="L8" s="130"/>
      <c r="M8" s="130" t="s">
        <v>160</v>
      </c>
      <c r="N8" s="130"/>
      <c r="O8" s="129" t="s">
        <v>110</v>
      </c>
      <c r="P8" s="131" t="s">
        <v>111</v>
      </c>
      <c r="Q8" s="111"/>
    </row>
    <row r="9" spans="1:17" s="112" customFormat="1" ht="11.25">
      <c r="A9" s="105"/>
      <c r="B9" s="106"/>
      <c r="C9" s="107" t="s">
        <v>112</v>
      </c>
      <c r="D9" s="108" t="s">
        <v>113</v>
      </c>
      <c r="E9" s="107" t="s">
        <v>112</v>
      </c>
      <c r="F9" s="108" t="s">
        <v>113</v>
      </c>
      <c r="G9" s="107" t="s">
        <v>112</v>
      </c>
      <c r="H9" s="108" t="s">
        <v>113</v>
      </c>
      <c r="I9" s="107" t="s">
        <v>112</v>
      </c>
      <c r="J9" s="108" t="s">
        <v>113</v>
      </c>
      <c r="K9" s="107" t="s">
        <v>112</v>
      </c>
      <c r="L9" s="108" t="s">
        <v>113</v>
      </c>
      <c r="M9" s="107" t="s">
        <v>112</v>
      </c>
      <c r="N9" s="108" t="s">
        <v>113</v>
      </c>
      <c r="O9" s="109" t="s">
        <v>114</v>
      </c>
      <c r="P9" s="110" t="s">
        <v>115</v>
      </c>
      <c r="Q9" s="111"/>
    </row>
    <row r="10" spans="1:17" s="112" customFormat="1" ht="11.25">
      <c r="A10" s="113" t="s">
        <v>1</v>
      </c>
      <c r="B10" s="106" t="s">
        <v>2</v>
      </c>
      <c r="C10" s="114">
        <v>1</v>
      </c>
      <c r="D10" s="115">
        <f aca="true" t="shared" si="0" ref="D10:D25">C10</f>
        <v>1</v>
      </c>
      <c r="E10" s="115"/>
      <c r="F10" s="115">
        <f aca="true" t="shared" si="1" ref="F10:F25">E10+D10</f>
        <v>1</v>
      </c>
      <c r="G10" s="115"/>
      <c r="H10" s="115">
        <f aca="true" t="shared" si="2" ref="H10:H25">G10+F10</f>
        <v>1</v>
      </c>
      <c r="I10" s="115"/>
      <c r="J10" s="115">
        <f aca="true" t="shared" si="3" ref="J10:J25">I10+H10</f>
        <v>1</v>
      </c>
      <c r="K10" s="115"/>
      <c r="L10" s="115">
        <f aca="true" t="shared" si="4" ref="L10:L25">K10+J10</f>
        <v>1</v>
      </c>
      <c r="M10" s="115"/>
      <c r="N10" s="115">
        <f aca="true" t="shared" si="5" ref="N10:N25">M10+L10</f>
        <v>1</v>
      </c>
      <c r="O10" s="116">
        <f>ORÇAMENTO!J14</f>
        <v>8787.374799999998</v>
      </c>
      <c r="P10" s="117">
        <f aca="true" t="shared" si="6" ref="P10:P25">O10/$O$27</f>
        <v>0.019482172137739357</v>
      </c>
      <c r="Q10" s="111"/>
    </row>
    <row r="11" spans="1:17" s="112" customFormat="1" ht="11.25">
      <c r="A11" s="113" t="s">
        <v>11</v>
      </c>
      <c r="B11" s="106" t="s">
        <v>17</v>
      </c>
      <c r="C11" s="114">
        <v>0.2</v>
      </c>
      <c r="D11" s="115">
        <f t="shared" si="0"/>
        <v>0.2</v>
      </c>
      <c r="E11" s="115">
        <v>0.5</v>
      </c>
      <c r="F11" s="115">
        <f t="shared" si="1"/>
        <v>0.7</v>
      </c>
      <c r="G11" s="115">
        <v>0.3</v>
      </c>
      <c r="H11" s="115">
        <f t="shared" si="2"/>
        <v>1</v>
      </c>
      <c r="I11" s="115"/>
      <c r="J11" s="115">
        <f t="shared" si="3"/>
        <v>1</v>
      </c>
      <c r="K11" s="115"/>
      <c r="L11" s="115">
        <f t="shared" si="4"/>
        <v>1</v>
      </c>
      <c r="M11" s="115"/>
      <c r="N11" s="115">
        <f t="shared" si="5"/>
        <v>1</v>
      </c>
      <c r="O11" s="116">
        <f>ORÇAMENTO!J26</f>
        <v>196944.52223</v>
      </c>
      <c r="P11" s="117">
        <f t="shared" si="6"/>
        <v>0.4366386060680712</v>
      </c>
      <c r="Q11" s="111"/>
    </row>
    <row r="12" spans="1:17" s="112" customFormat="1" ht="11.25">
      <c r="A12" s="113" t="s">
        <v>16</v>
      </c>
      <c r="B12" s="106" t="s">
        <v>33</v>
      </c>
      <c r="C12" s="114">
        <v>0</v>
      </c>
      <c r="D12" s="115">
        <f t="shared" si="0"/>
        <v>0</v>
      </c>
      <c r="E12" s="115">
        <v>0.1</v>
      </c>
      <c r="F12" s="115">
        <f t="shared" si="1"/>
        <v>0.1</v>
      </c>
      <c r="G12" s="115">
        <v>0.1</v>
      </c>
      <c r="H12" s="115">
        <f t="shared" si="2"/>
        <v>0.2</v>
      </c>
      <c r="I12" s="115">
        <v>0.2</v>
      </c>
      <c r="J12" s="115">
        <f t="shared" si="3"/>
        <v>0.4</v>
      </c>
      <c r="K12" s="115">
        <v>0.2</v>
      </c>
      <c r="L12" s="115">
        <f t="shared" si="4"/>
        <v>0.6000000000000001</v>
      </c>
      <c r="M12" s="115">
        <v>0.4</v>
      </c>
      <c r="N12" s="115">
        <f t="shared" si="5"/>
        <v>1</v>
      </c>
      <c r="O12" s="116">
        <f>ORÇAMENTO!J52</f>
        <v>31433.665000000005</v>
      </c>
      <c r="P12" s="117">
        <f t="shared" si="6"/>
        <v>0.06969044639475637</v>
      </c>
      <c r="Q12" s="111"/>
    </row>
    <row r="13" spans="1:17" s="112" customFormat="1" ht="11.25">
      <c r="A13" s="113" t="s">
        <v>32</v>
      </c>
      <c r="B13" s="106" t="s">
        <v>161</v>
      </c>
      <c r="C13" s="114">
        <v>0</v>
      </c>
      <c r="D13" s="115">
        <f t="shared" si="0"/>
        <v>0</v>
      </c>
      <c r="E13" s="115">
        <v>0</v>
      </c>
      <c r="F13" s="115">
        <f t="shared" si="1"/>
        <v>0</v>
      </c>
      <c r="G13" s="115">
        <v>0.1</v>
      </c>
      <c r="H13" s="115">
        <f t="shared" si="2"/>
        <v>0.1</v>
      </c>
      <c r="I13" s="115">
        <v>0.5</v>
      </c>
      <c r="J13" s="115">
        <f t="shared" si="3"/>
        <v>0.6</v>
      </c>
      <c r="K13" s="115">
        <v>0.1</v>
      </c>
      <c r="L13" s="115">
        <f t="shared" si="4"/>
        <v>0.7</v>
      </c>
      <c r="M13" s="115">
        <v>0.3</v>
      </c>
      <c r="N13" s="115">
        <f t="shared" si="5"/>
        <v>1</v>
      </c>
      <c r="O13" s="116">
        <f>ORÇAMENTO!J64</f>
        <v>12945.862999999998</v>
      </c>
      <c r="P13" s="117">
        <f t="shared" si="6"/>
        <v>0.02870180653243456</v>
      </c>
      <c r="Q13" s="111"/>
    </row>
    <row r="14" spans="1:17" s="112" customFormat="1" ht="11.25">
      <c r="A14" s="113" t="s">
        <v>54</v>
      </c>
      <c r="B14" s="106" t="s">
        <v>116</v>
      </c>
      <c r="C14" s="114">
        <v>0</v>
      </c>
      <c r="D14" s="115">
        <f t="shared" si="0"/>
        <v>0</v>
      </c>
      <c r="E14" s="115">
        <v>0.3</v>
      </c>
      <c r="F14" s="115">
        <f t="shared" si="1"/>
        <v>0.3</v>
      </c>
      <c r="G14" s="115">
        <v>0.4</v>
      </c>
      <c r="H14" s="115">
        <f t="shared" si="2"/>
        <v>0.7</v>
      </c>
      <c r="I14" s="115">
        <v>0.3</v>
      </c>
      <c r="J14" s="115">
        <f t="shared" si="3"/>
        <v>1</v>
      </c>
      <c r="K14" s="115">
        <v>0</v>
      </c>
      <c r="L14" s="115">
        <f t="shared" si="4"/>
        <v>1</v>
      </c>
      <c r="M14" s="115">
        <v>0</v>
      </c>
      <c r="N14" s="115">
        <f t="shared" si="5"/>
        <v>1</v>
      </c>
      <c r="O14" s="116">
        <f>ORÇAMENTO!J69</f>
        <v>34652.375</v>
      </c>
      <c r="P14" s="117">
        <f t="shared" si="6"/>
        <v>0.07682653239412253</v>
      </c>
      <c r="Q14" s="111"/>
    </row>
    <row r="15" spans="1:17" s="112" customFormat="1" ht="11.25">
      <c r="A15" s="113" t="s">
        <v>57</v>
      </c>
      <c r="B15" s="106" t="s">
        <v>63</v>
      </c>
      <c r="C15" s="114">
        <v>1</v>
      </c>
      <c r="D15" s="115">
        <f t="shared" si="0"/>
        <v>1</v>
      </c>
      <c r="E15" s="115"/>
      <c r="F15" s="115">
        <f t="shared" si="1"/>
        <v>1</v>
      </c>
      <c r="G15" s="115"/>
      <c r="H15" s="115">
        <f t="shared" si="2"/>
        <v>1</v>
      </c>
      <c r="I15" s="115"/>
      <c r="J15" s="115">
        <f t="shared" si="3"/>
        <v>1</v>
      </c>
      <c r="K15" s="115"/>
      <c r="L15" s="115">
        <f t="shared" si="4"/>
        <v>1</v>
      </c>
      <c r="M15" s="115"/>
      <c r="N15" s="115">
        <f t="shared" si="5"/>
        <v>1</v>
      </c>
      <c r="O15" s="116">
        <f>ORÇAMENTO!J72</f>
        <v>7563.9</v>
      </c>
      <c r="P15" s="117">
        <f t="shared" si="6"/>
        <v>0.016769650229627935</v>
      </c>
      <c r="Q15" s="111"/>
    </row>
    <row r="16" spans="1:17" s="112" customFormat="1" ht="11.25">
      <c r="A16" s="113" t="s">
        <v>59</v>
      </c>
      <c r="B16" s="106" t="s">
        <v>118</v>
      </c>
      <c r="C16" s="114">
        <v>0</v>
      </c>
      <c r="D16" s="115">
        <f t="shared" si="0"/>
        <v>0</v>
      </c>
      <c r="E16" s="115">
        <v>0</v>
      </c>
      <c r="F16" s="115">
        <f t="shared" si="1"/>
        <v>0</v>
      </c>
      <c r="G16" s="115">
        <v>0.6</v>
      </c>
      <c r="H16" s="115">
        <f t="shared" si="2"/>
        <v>0.6</v>
      </c>
      <c r="I16" s="115">
        <v>0.4</v>
      </c>
      <c r="J16" s="115">
        <f t="shared" si="3"/>
        <v>1</v>
      </c>
      <c r="K16" s="115">
        <v>0</v>
      </c>
      <c r="L16" s="115">
        <f t="shared" si="4"/>
        <v>1</v>
      </c>
      <c r="M16" s="115">
        <v>0</v>
      </c>
      <c r="N16" s="115">
        <f t="shared" si="5"/>
        <v>1</v>
      </c>
      <c r="O16" s="116">
        <f>ORÇAMENTO!J80</f>
        <v>51587.70480000001</v>
      </c>
      <c r="P16" s="117">
        <f t="shared" si="6"/>
        <v>0.11437324206365741</v>
      </c>
      <c r="Q16" s="111"/>
    </row>
    <row r="17" spans="1:17" s="112" customFormat="1" ht="11.25">
      <c r="A17" s="113" t="s">
        <v>62</v>
      </c>
      <c r="B17" s="106" t="s">
        <v>68</v>
      </c>
      <c r="C17" s="114">
        <v>0</v>
      </c>
      <c r="D17" s="115">
        <f t="shared" si="0"/>
        <v>0</v>
      </c>
      <c r="E17" s="115">
        <v>0</v>
      </c>
      <c r="F17" s="115">
        <f t="shared" si="1"/>
        <v>0</v>
      </c>
      <c r="G17" s="115">
        <v>0</v>
      </c>
      <c r="H17" s="115">
        <f t="shared" si="2"/>
        <v>0</v>
      </c>
      <c r="I17" s="115">
        <v>0</v>
      </c>
      <c r="J17" s="115">
        <f t="shared" si="3"/>
        <v>0</v>
      </c>
      <c r="K17" s="115">
        <v>0.35</v>
      </c>
      <c r="L17" s="115">
        <f t="shared" si="4"/>
        <v>0.35</v>
      </c>
      <c r="M17" s="115">
        <v>0.65</v>
      </c>
      <c r="N17" s="115">
        <f t="shared" si="5"/>
        <v>1</v>
      </c>
      <c r="O17" s="116">
        <f>ORÇAMENTO!J83</f>
        <v>4631.06</v>
      </c>
      <c r="P17" s="117">
        <f t="shared" si="6"/>
        <v>0.01026735630989579</v>
      </c>
      <c r="Q17" s="111"/>
    </row>
    <row r="18" spans="1:17" s="112" customFormat="1" ht="11.25">
      <c r="A18" s="113" t="s">
        <v>117</v>
      </c>
      <c r="B18" s="106" t="s">
        <v>71</v>
      </c>
      <c r="C18" s="114">
        <v>0</v>
      </c>
      <c r="D18" s="115">
        <f t="shared" si="0"/>
        <v>0</v>
      </c>
      <c r="E18" s="115">
        <v>0</v>
      </c>
      <c r="F18" s="115">
        <f t="shared" si="1"/>
        <v>0</v>
      </c>
      <c r="G18" s="115">
        <v>0</v>
      </c>
      <c r="H18" s="115">
        <f t="shared" si="2"/>
        <v>0</v>
      </c>
      <c r="I18" s="115">
        <v>0</v>
      </c>
      <c r="J18" s="115">
        <f t="shared" si="3"/>
        <v>0</v>
      </c>
      <c r="K18" s="115">
        <v>0</v>
      </c>
      <c r="L18" s="115">
        <f t="shared" si="4"/>
        <v>0</v>
      </c>
      <c r="M18" s="115">
        <v>1</v>
      </c>
      <c r="N18" s="115">
        <f t="shared" si="5"/>
        <v>1</v>
      </c>
      <c r="O18" s="116">
        <f>ORÇAMENTO!J87</f>
        <v>1742.2867999999999</v>
      </c>
      <c r="P18" s="117">
        <f t="shared" si="6"/>
        <v>0.0038627613051068527</v>
      </c>
      <c r="Q18" s="111"/>
    </row>
    <row r="19" spans="1:17" s="112" customFormat="1" ht="11.25">
      <c r="A19" s="113" t="s">
        <v>67</v>
      </c>
      <c r="B19" s="106" t="s">
        <v>75</v>
      </c>
      <c r="C19" s="114">
        <v>0</v>
      </c>
      <c r="D19" s="115">
        <f t="shared" si="0"/>
        <v>0</v>
      </c>
      <c r="E19" s="115">
        <v>0</v>
      </c>
      <c r="F19" s="115">
        <f t="shared" si="1"/>
        <v>0</v>
      </c>
      <c r="G19" s="115">
        <v>0</v>
      </c>
      <c r="H19" s="115">
        <f t="shared" si="2"/>
        <v>0</v>
      </c>
      <c r="I19" s="115">
        <v>0</v>
      </c>
      <c r="J19" s="115">
        <f t="shared" si="3"/>
        <v>0</v>
      </c>
      <c r="K19" s="115">
        <v>0</v>
      </c>
      <c r="L19" s="115">
        <f t="shared" si="4"/>
        <v>0</v>
      </c>
      <c r="M19" s="115">
        <v>1</v>
      </c>
      <c r="N19" s="115">
        <f t="shared" si="5"/>
        <v>1</v>
      </c>
      <c r="O19" s="116">
        <f>ORÇAMENTO!J90</f>
        <v>11294.724</v>
      </c>
      <c r="P19" s="117">
        <f t="shared" si="6"/>
        <v>0.025041125731459193</v>
      </c>
      <c r="Q19" s="111"/>
    </row>
    <row r="20" spans="1:17" s="112" customFormat="1" ht="11.25">
      <c r="A20" s="113" t="s">
        <v>70</v>
      </c>
      <c r="B20" s="106" t="s">
        <v>78</v>
      </c>
      <c r="C20" s="114">
        <v>0</v>
      </c>
      <c r="D20" s="115">
        <f t="shared" si="0"/>
        <v>0</v>
      </c>
      <c r="E20" s="115">
        <v>0</v>
      </c>
      <c r="F20" s="115">
        <f t="shared" si="1"/>
        <v>0</v>
      </c>
      <c r="G20" s="115">
        <v>0.5</v>
      </c>
      <c r="H20" s="115">
        <f t="shared" si="2"/>
        <v>0.5</v>
      </c>
      <c r="I20" s="115">
        <v>0.4</v>
      </c>
      <c r="J20" s="115">
        <f t="shared" si="3"/>
        <v>0.9</v>
      </c>
      <c r="K20" s="115">
        <v>0.1</v>
      </c>
      <c r="L20" s="115">
        <f t="shared" si="4"/>
        <v>1</v>
      </c>
      <c r="M20" s="115">
        <v>0</v>
      </c>
      <c r="N20" s="115">
        <f t="shared" si="5"/>
        <v>1</v>
      </c>
      <c r="O20" s="116">
        <f>ORÇAMENTO!J94</f>
        <v>20353.7</v>
      </c>
      <c r="P20" s="117">
        <f t="shared" si="6"/>
        <v>0.04512545510633115</v>
      </c>
      <c r="Q20" s="111"/>
    </row>
    <row r="21" spans="1:17" s="112" customFormat="1" ht="11.25">
      <c r="A21" s="113" t="s">
        <v>74</v>
      </c>
      <c r="B21" s="106" t="s">
        <v>84</v>
      </c>
      <c r="C21" s="114">
        <v>0</v>
      </c>
      <c r="D21" s="115">
        <f t="shared" si="0"/>
        <v>0</v>
      </c>
      <c r="E21" s="115">
        <v>0</v>
      </c>
      <c r="F21" s="115">
        <f t="shared" si="1"/>
        <v>0</v>
      </c>
      <c r="G21" s="115">
        <v>0.2</v>
      </c>
      <c r="H21" s="115">
        <f t="shared" si="2"/>
        <v>0.2</v>
      </c>
      <c r="I21" s="115">
        <v>0.7</v>
      </c>
      <c r="J21" s="115">
        <f t="shared" si="3"/>
        <v>0.8999999999999999</v>
      </c>
      <c r="K21" s="115">
        <v>0.1</v>
      </c>
      <c r="L21" s="115">
        <f t="shared" si="4"/>
        <v>0.9999999999999999</v>
      </c>
      <c r="M21" s="115">
        <v>0</v>
      </c>
      <c r="N21" s="115">
        <f t="shared" si="5"/>
        <v>0.9999999999999999</v>
      </c>
      <c r="O21" s="116">
        <f>ORÇAMENTO!J98</f>
        <v>9197.3377</v>
      </c>
      <c r="P21" s="117">
        <f t="shared" si="6"/>
        <v>0.020391086115994484</v>
      </c>
      <c r="Q21" s="111"/>
    </row>
    <row r="22" spans="1:17" s="112" customFormat="1" ht="11.25">
      <c r="A22" s="113" t="s">
        <v>77</v>
      </c>
      <c r="B22" s="106" t="s">
        <v>86</v>
      </c>
      <c r="C22" s="114">
        <v>0</v>
      </c>
      <c r="D22" s="115">
        <f t="shared" si="0"/>
        <v>0</v>
      </c>
      <c r="E22" s="115">
        <v>0</v>
      </c>
      <c r="F22" s="115">
        <f t="shared" si="1"/>
        <v>0</v>
      </c>
      <c r="G22" s="115">
        <v>0</v>
      </c>
      <c r="H22" s="115">
        <f t="shared" si="2"/>
        <v>0</v>
      </c>
      <c r="I22" s="115">
        <v>0.3</v>
      </c>
      <c r="J22" s="115">
        <f t="shared" si="3"/>
        <v>0.3</v>
      </c>
      <c r="K22" s="115">
        <v>0.7</v>
      </c>
      <c r="L22" s="115">
        <f t="shared" si="4"/>
        <v>1</v>
      </c>
      <c r="M22" s="115">
        <v>0</v>
      </c>
      <c r="N22" s="115">
        <f t="shared" si="5"/>
        <v>1</v>
      </c>
      <c r="O22" s="116">
        <f>ORÇAMENTO!J106</f>
        <v>29339.1826</v>
      </c>
      <c r="P22" s="117">
        <f t="shared" si="6"/>
        <v>0.06504684491137984</v>
      </c>
      <c r="Q22" s="111"/>
    </row>
    <row r="23" spans="1:17" s="112" customFormat="1" ht="11.25">
      <c r="A23" s="113" t="s">
        <v>83</v>
      </c>
      <c r="B23" s="106" t="s">
        <v>119</v>
      </c>
      <c r="C23" s="114">
        <v>0</v>
      </c>
      <c r="D23" s="115">
        <f t="shared" si="0"/>
        <v>0</v>
      </c>
      <c r="E23" s="115">
        <v>0</v>
      </c>
      <c r="F23" s="115">
        <f t="shared" si="1"/>
        <v>0</v>
      </c>
      <c r="G23" s="115">
        <v>0</v>
      </c>
      <c r="H23" s="115">
        <f t="shared" si="2"/>
        <v>0</v>
      </c>
      <c r="I23" s="115">
        <v>0</v>
      </c>
      <c r="J23" s="115">
        <f t="shared" si="3"/>
        <v>0</v>
      </c>
      <c r="K23" s="115">
        <v>0</v>
      </c>
      <c r="L23" s="115">
        <f t="shared" si="4"/>
        <v>0</v>
      </c>
      <c r="M23" s="115">
        <v>1</v>
      </c>
      <c r="N23" s="115">
        <f t="shared" si="5"/>
        <v>1</v>
      </c>
      <c r="O23" s="116">
        <f>ORÇAMENTO!J117</f>
        <v>394.16</v>
      </c>
      <c r="P23" s="117">
        <f t="shared" si="6"/>
        <v>0.0008738779379037465</v>
      </c>
      <c r="Q23" s="111"/>
    </row>
    <row r="24" spans="1:17" s="112" customFormat="1" ht="11.25">
      <c r="A24" s="113" t="s">
        <v>85</v>
      </c>
      <c r="B24" s="106" t="s">
        <v>93</v>
      </c>
      <c r="C24" s="114">
        <v>0</v>
      </c>
      <c r="D24" s="115">
        <f t="shared" si="0"/>
        <v>0</v>
      </c>
      <c r="E24" s="115">
        <v>0</v>
      </c>
      <c r="F24" s="115">
        <f t="shared" si="1"/>
        <v>0</v>
      </c>
      <c r="G24" s="115">
        <v>0</v>
      </c>
      <c r="H24" s="115">
        <f t="shared" si="2"/>
        <v>0</v>
      </c>
      <c r="I24" s="115">
        <v>0</v>
      </c>
      <c r="J24" s="115">
        <f t="shared" si="3"/>
        <v>0</v>
      </c>
      <c r="K24" s="115">
        <v>0.3</v>
      </c>
      <c r="L24" s="115">
        <f t="shared" si="4"/>
        <v>0.3</v>
      </c>
      <c r="M24" s="115">
        <v>0.7</v>
      </c>
      <c r="N24" s="115">
        <f t="shared" si="5"/>
        <v>1</v>
      </c>
      <c r="O24" s="116">
        <f>ORÇAMENTO!J127</f>
        <v>29371.4016</v>
      </c>
      <c r="P24" s="117">
        <f t="shared" si="6"/>
        <v>0.06511827649571443</v>
      </c>
      <c r="Q24" s="111"/>
    </row>
    <row r="25" spans="1:17" s="112" customFormat="1" ht="11.25">
      <c r="A25" s="113" t="s">
        <v>90</v>
      </c>
      <c r="B25" s="106" t="s">
        <v>98</v>
      </c>
      <c r="C25" s="118">
        <v>0.15</v>
      </c>
      <c r="D25" s="119">
        <f t="shared" si="0"/>
        <v>0.15</v>
      </c>
      <c r="E25" s="119">
        <v>0.15</v>
      </c>
      <c r="F25" s="119">
        <f t="shared" si="1"/>
        <v>0.3</v>
      </c>
      <c r="G25" s="119">
        <v>0.15</v>
      </c>
      <c r="H25" s="119">
        <f t="shared" si="2"/>
        <v>0.44999999999999996</v>
      </c>
      <c r="I25" s="119">
        <v>0.15</v>
      </c>
      <c r="J25" s="119">
        <f t="shared" si="3"/>
        <v>0.6</v>
      </c>
      <c r="K25" s="119">
        <v>0.25</v>
      </c>
      <c r="L25" s="119">
        <f t="shared" si="4"/>
        <v>0.85</v>
      </c>
      <c r="M25" s="119">
        <v>0.15</v>
      </c>
      <c r="N25" s="119">
        <f t="shared" si="5"/>
        <v>1</v>
      </c>
      <c r="O25" s="120">
        <f>ORÇAMENTO!J131</f>
        <v>807.7170000000001</v>
      </c>
      <c r="P25" s="117">
        <f t="shared" si="6"/>
        <v>0.001790760265805258</v>
      </c>
      <c r="Q25" s="111"/>
    </row>
    <row r="26" spans="1:17" s="112" customFormat="1" ht="11.25">
      <c r="A26" s="113"/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16"/>
      <c r="P26" s="117"/>
      <c r="Q26" s="111"/>
    </row>
    <row r="27" spans="1:17" s="112" customFormat="1" ht="11.25">
      <c r="A27" s="113"/>
      <c r="B27" s="123"/>
      <c r="C27" s="124">
        <f>C10*$P10+C11*$P11+C12*$P12+C13*$P13+C14*$P14+C15*$P15+C16*$P16+C17*$P17+C18*$P18+C19*$P19+C20*$P20+C21*$P21+C22*$P22+C23*$P23+C24*$P24+C25*$P25</f>
        <v>0.12384815762085233</v>
      </c>
      <c r="D27" s="124">
        <f>C27</f>
        <v>0.12384815762085233</v>
      </c>
      <c r="E27" s="124">
        <f>E10*$P10+E11*$P11+E12*$P12+E13*$P13+E14*$P14+E15*$P15+E16*$P16+E17*$P17+E18*$P18+E19*$P19+E20*$P20+E21*$P21+E22*$P22+E23*$P23+E24*$P24+E25*$P25</f>
        <v>0.2486049214316188</v>
      </c>
      <c r="F27" s="124">
        <f>D27+E27</f>
        <v>0.37245307905247116</v>
      </c>
      <c r="G27" s="124">
        <f>G10*$P10+G11*$P11+G12*$P12+G13*$P13+G14*$P14+G15*$P15+G16*$P16+G17*$P17+G18*$P18+G19*$P19+G20*$P20+G21*$P21+G22*$P22+G23*$P23+G24*$P24+G25*$P25</f>
        <v>0.2670949241252192</v>
      </c>
      <c r="H27" s="124">
        <f>F27+G27</f>
        <v>0.6395480031776903</v>
      </c>
      <c r="I27" s="124">
        <f>I10*$P10+I11*$P11+I12*$P12+I13*$P13+I14*$P14+I15*$P15+I16*$P16+I17*$P17+I18*$P18+I19*$P19+I20*$P20+I21*$P21+I22*$P22+I23*$P23+I24*$P24+I25*$P25</f>
        <v>0.14919285892588163</v>
      </c>
      <c r="J27" s="124">
        <f>H27+I27</f>
        <v>0.788740862103572</v>
      </c>
      <c r="K27" s="124">
        <f>K10*$P10+K11*$P11+K12*$P12+K13*$P13+K14*$P14+K15*$P15+K16*$P16+K17*$P17+K18*$P18+K19*$P19+K20*$P20+K21*$P21+K22*$P22+K23*$P23+K24*$P24+K25*$P25</f>
        <v>0.09246946321602234</v>
      </c>
      <c r="L27" s="124">
        <f>J27+K27</f>
        <v>0.8812103253195943</v>
      </c>
      <c r="M27" s="124">
        <f>M10*$P10+M11*$P11+M12*$P12+M13*$P13+M14*$P14+M15*$P15+M16*$P16+M17*$P17+M18*$P18+M19*$P19+M20*$P20+M21*$P21+M22*$P22+M23*$P23+M24*$P24+M25*$P25</f>
        <v>0.11878967468040587</v>
      </c>
      <c r="N27" s="124">
        <f>L27+M27</f>
        <v>1.0000000000000002</v>
      </c>
      <c r="O27" s="116">
        <f>SUM(O10:O26)</f>
        <v>451046.97452999995</v>
      </c>
      <c r="P27" s="117">
        <f>SUM(P10:P26)</f>
        <v>1.0000000000000002</v>
      </c>
      <c r="Q27" s="111"/>
    </row>
    <row r="28" spans="1:17" s="112" customFormat="1" ht="11.25">
      <c r="A28" s="113"/>
      <c r="B28" s="125" t="s">
        <v>262</v>
      </c>
      <c r="C28" s="126">
        <f>C27*$O$27</f>
        <v>55861.336795999996</v>
      </c>
      <c r="D28" s="126"/>
      <c r="E28" s="126">
        <f>E27*$O$27</f>
        <v>112132.497665</v>
      </c>
      <c r="F28" s="126"/>
      <c r="G28" s="126">
        <f>G27*$O$27</f>
        <v>120472.357439</v>
      </c>
      <c r="H28" s="126"/>
      <c r="I28" s="126">
        <f>I27*$O$27</f>
        <v>67292.98764</v>
      </c>
      <c r="J28" s="126"/>
      <c r="K28" s="126">
        <f>K27*$O$27</f>
        <v>41708.071619999995</v>
      </c>
      <c r="L28" s="126"/>
      <c r="M28" s="126">
        <f>M27*$O$27</f>
        <v>53579.72337000001</v>
      </c>
      <c r="N28" s="126"/>
      <c r="O28" s="127">
        <f>SUM(C28:N28)</f>
        <v>451046.97453</v>
      </c>
      <c r="P28" s="117"/>
      <c r="Q28" s="111"/>
    </row>
    <row r="29" spans="1:17" s="112" customFormat="1" ht="11.25">
      <c r="A29" s="113"/>
      <c r="B29" s="125" t="s">
        <v>263</v>
      </c>
      <c r="C29" s="126">
        <f>C28</f>
        <v>55861.336795999996</v>
      </c>
      <c r="D29" s="126"/>
      <c r="E29" s="126">
        <f>C29+E28</f>
        <v>167993.834461</v>
      </c>
      <c r="F29" s="126"/>
      <c r="G29" s="126">
        <f>E29+G28</f>
        <v>288466.1919</v>
      </c>
      <c r="H29" s="126"/>
      <c r="I29" s="126">
        <f>G29+I28</f>
        <v>355759.17954</v>
      </c>
      <c r="J29" s="126"/>
      <c r="K29" s="126">
        <f>I29+K28</f>
        <v>397467.25116</v>
      </c>
      <c r="L29" s="126"/>
      <c r="M29" s="126">
        <f>K29+M28</f>
        <v>451046.97453</v>
      </c>
      <c r="N29" s="126"/>
      <c r="O29" s="127">
        <f>O27</f>
        <v>451046.97452999995</v>
      </c>
      <c r="P29" s="117"/>
      <c r="Q29" s="111"/>
    </row>
    <row r="31" ht="12.75">
      <c r="E31" s="48"/>
    </row>
    <row r="33" spans="2:5" ht="12.75">
      <c r="B33" s="11"/>
      <c r="E33" s="10"/>
    </row>
    <row r="34" spans="2:3" ht="12.75">
      <c r="B34" s="10"/>
      <c r="C34" s="48"/>
    </row>
  </sheetData>
  <sheetProtection/>
  <mergeCells count="31">
    <mergeCell ref="K6:P6"/>
    <mergeCell ref="G8:H8"/>
    <mergeCell ref="A5:P5"/>
    <mergeCell ref="I28:J28"/>
    <mergeCell ref="A1:L1"/>
    <mergeCell ref="A3:G3"/>
    <mergeCell ref="O1:P1"/>
    <mergeCell ref="A2:G2"/>
    <mergeCell ref="H2:P2"/>
    <mergeCell ref="C29:D29"/>
    <mergeCell ref="E29:F29"/>
    <mergeCell ref="G29:H29"/>
    <mergeCell ref="C28:D28"/>
    <mergeCell ref="E28:F28"/>
    <mergeCell ref="C4:E4"/>
    <mergeCell ref="K8:L8"/>
    <mergeCell ref="I29:J29"/>
    <mergeCell ref="K29:L29"/>
    <mergeCell ref="M29:N29"/>
    <mergeCell ref="K28:L28"/>
    <mergeCell ref="M28:N28"/>
    <mergeCell ref="A6:J6"/>
    <mergeCell ref="G28:H28"/>
    <mergeCell ref="F4:L4"/>
    <mergeCell ref="A7:P7"/>
    <mergeCell ref="C8:D8"/>
    <mergeCell ref="E8:F8"/>
    <mergeCell ref="M8:N8"/>
    <mergeCell ref="I8:J8"/>
    <mergeCell ref="A4:B4"/>
    <mergeCell ref="O4:P4"/>
  </mergeCells>
  <printOptions/>
  <pageMargins left="0.11811023622047245" right="0.11811023622047245" top="0.8267716535433072" bottom="0.5905511811023623" header="0.5118110236220472" footer="0.5118110236220472"/>
  <pageSetup fitToHeight="0" horizontalDpi="300" verticalDpi="300" orientation="landscape" paperSize="9" scale="95" r:id="rId1"/>
  <headerFooter alignWithMargins="0">
    <oddFooter>&amp;L_________________________________________
ENG. CIVIL ALEX W. RODRIGUES SILVA
CREA 11687/D-GO&amp;R___________________________________________
ENG. CIVIL PAULO B. DA CUNHA NETO
CREA 10804/D-GO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Obras</dc:creator>
  <cp:keywords/>
  <dc:description/>
  <cp:lastModifiedBy>liomar</cp:lastModifiedBy>
  <cp:lastPrinted>2012-10-15T12:13:05Z</cp:lastPrinted>
  <dcterms:created xsi:type="dcterms:W3CDTF">2005-02-21T10:17:15Z</dcterms:created>
  <dcterms:modified xsi:type="dcterms:W3CDTF">2012-10-15T12:13:46Z</dcterms:modified>
  <cp:category/>
  <cp:version/>
  <cp:contentType/>
  <cp:contentStatus/>
  <cp:revision>1</cp:revision>
</cp:coreProperties>
</file>